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bankpe-my.sharepoint.com/personal/spinto_intercorp_com_pe/Documents/Escritorio/Simuladores Financiamiento/"/>
    </mc:Choice>
  </mc:AlternateContent>
  <xr:revisionPtr revIDLastSave="20" documentId="13_ncr:1_{3D4EAADA-3CE7-4FD0-9783-1F41EA7ACCE0}" xr6:coauthVersionLast="47" xr6:coauthVersionMax="47" xr10:uidLastSave="{36E099F9-B3CA-4836-A2EB-F05E90175AC6}"/>
  <bookViews>
    <workbookView xWindow="-120" yWindow="-120" windowWidth="20730" windowHeight="11160" xr2:uid="{70B0F191-D94F-42F7-A9F7-2672BAAAAE31}"/>
  </bookViews>
  <sheets>
    <sheet name="Simulador" sheetId="1" r:id="rId1"/>
    <sheet name="Hoja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Z15" i="1"/>
  <c r="J36" i="1" l="1"/>
  <c r="D111" i="1"/>
  <c r="D110" i="1"/>
  <c r="D109" i="1"/>
  <c r="B109" i="1" s="1"/>
  <c r="D108" i="1"/>
  <c r="B108" i="1" s="1"/>
  <c r="D107" i="1"/>
  <c r="D106" i="1"/>
  <c r="D105" i="1"/>
  <c r="D104" i="1"/>
  <c r="D103" i="1"/>
  <c r="D102" i="1"/>
  <c r="D101" i="1"/>
  <c r="D100" i="1"/>
  <c r="D99" i="1"/>
  <c r="B99" i="1" s="1"/>
  <c r="D98" i="1"/>
  <c r="D97" i="1"/>
  <c r="D96" i="1"/>
  <c r="D95" i="1"/>
  <c r="D94" i="1"/>
  <c r="D93" i="1"/>
  <c r="B93" i="1" s="1"/>
  <c r="D92" i="1"/>
  <c r="D91" i="1"/>
  <c r="D90" i="1"/>
  <c r="D89" i="1"/>
  <c r="D88" i="1"/>
  <c r="D87" i="1"/>
  <c r="D86" i="1"/>
  <c r="D85" i="1"/>
  <c r="B85" i="1" s="1"/>
  <c r="D84" i="1"/>
  <c r="B84" i="1" s="1"/>
  <c r="D83" i="1"/>
  <c r="D82" i="1"/>
  <c r="D81" i="1"/>
  <c r="D80" i="1"/>
  <c r="D79" i="1"/>
  <c r="D78" i="1"/>
  <c r="D77" i="1"/>
  <c r="B77" i="1" s="1"/>
  <c r="D76" i="1"/>
  <c r="B76" i="1" s="1"/>
  <c r="D75" i="1"/>
  <c r="D74" i="1"/>
  <c r="D73" i="1"/>
  <c r="D72" i="1"/>
  <c r="D71" i="1"/>
  <c r="D70" i="1"/>
  <c r="D69" i="1"/>
  <c r="D68" i="1"/>
  <c r="D67" i="1"/>
  <c r="D66" i="1"/>
  <c r="D65" i="1"/>
  <c r="D64" i="1"/>
  <c r="B64" i="1" s="1"/>
  <c r="D63" i="1"/>
  <c r="B63" i="1" s="1"/>
  <c r="D62" i="1"/>
  <c r="B62" i="1" s="1"/>
  <c r="D61" i="1"/>
  <c r="D60" i="1"/>
  <c r="B60" i="1" s="1"/>
  <c r="D59" i="1"/>
  <c r="B59" i="1" s="1"/>
  <c r="D58" i="1"/>
  <c r="B58" i="1" s="1"/>
  <c r="D57" i="1"/>
  <c r="B57" i="1" s="1"/>
  <c r="D56" i="1"/>
  <c r="B56" i="1" s="1"/>
  <c r="D55" i="1"/>
  <c r="B55" i="1" s="1"/>
  <c r="D54" i="1"/>
  <c r="B54" i="1" s="1"/>
  <c r="D53" i="1"/>
  <c r="B53" i="1" s="1"/>
  <c r="D52" i="1"/>
  <c r="B52" i="1" s="1"/>
  <c r="D51" i="1"/>
  <c r="B51" i="1" s="1"/>
  <c r="D50" i="1"/>
  <c r="B50" i="1" s="1"/>
  <c r="D49" i="1"/>
  <c r="B49" i="1" s="1"/>
  <c r="D48" i="1"/>
  <c r="B48" i="1" s="1"/>
  <c r="D47" i="1"/>
  <c r="B47" i="1" s="1"/>
  <c r="D46" i="1"/>
  <c r="B46" i="1" s="1"/>
  <c r="D45" i="1"/>
  <c r="B45" i="1" s="1"/>
  <c r="D44" i="1"/>
  <c r="B44" i="1" s="1"/>
  <c r="D43" i="1"/>
  <c r="B43" i="1" s="1"/>
  <c r="D42" i="1"/>
  <c r="B42" i="1" s="1"/>
  <c r="D41" i="1"/>
  <c r="B41" i="1" s="1"/>
  <c r="D40" i="1"/>
  <c r="B40" i="1" s="1"/>
  <c r="D39" i="1"/>
  <c r="B39" i="1" s="1"/>
  <c r="D38" i="1"/>
  <c r="B38" i="1" s="1"/>
  <c r="D37" i="1"/>
  <c r="B37" i="1" s="1"/>
  <c r="B94" i="1" l="1"/>
  <c r="B95" i="1"/>
  <c r="B71" i="1"/>
  <c r="B72" i="1"/>
  <c r="B78" i="1"/>
  <c r="B96" i="1"/>
  <c r="B79" i="1"/>
  <c r="B102" i="1"/>
  <c r="B80" i="1"/>
  <c r="B103" i="1"/>
  <c r="B86" i="1"/>
  <c r="B104" i="1"/>
  <c r="B87" i="1"/>
  <c r="B110" i="1"/>
  <c r="B70" i="1"/>
  <c r="B88" i="1"/>
  <c r="B111" i="1"/>
  <c r="B65" i="1"/>
  <c r="B73" i="1"/>
  <c r="B81" i="1"/>
  <c r="B89" i="1"/>
  <c r="B97" i="1"/>
  <c r="B105" i="1"/>
  <c r="B66" i="1"/>
  <c r="B74" i="1"/>
  <c r="B82" i="1"/>
  <c r="B90" i="1"/>
  <c r="B98" i="1"/>
  <c r="B106" i="1"/>
  <c r="B67" i="1"/>
  <c r="B75" i="1"/>
  <c r="B83" i="1"/>
  <c r="B91" i="1"/>
  <c r="B107" i="1"/>
  <c r="B68" i="1"/>
  <c r="B92" i="1"/>
  <c r="B100" i="1"/>
  <c r="B61" i="1"/>
  <c r="B69" i="1"/>
  <c r="B101" i="1"/>
  <c r="E36" i="1" l="1"/>
  <c r="J35" i="1"/>
  <c r="I36" i="1"/>
  <c r="C2" i="2"/>
  <c r="F20" i="1" l="1"/>
  <c r="C36" i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D21" i="1"/>
  <c r="D22" i="1" s="1"/>
  <c r="D17" i="1" l="1"/>
  <c r="D10" i="1" l="1"/>
  <c r="G36" i="1" s="1"/>
  <c r="AA38" i="1" l="1"/>
  <c r="AA37" i="1"/>
  <c r="AA34" i="1"/>
  <c r="Z32" i="1"/>
  <c r="Z20" i="1"/>
  <c r="Z19" i="1"/>
  <c r="I19" i="1"/>
  <c r="Z18" i="1"/>
  <c r="Z17" i="1"/>
  <c r="Z14" i="1"/>
  <c r="Z13" i="1"/>
  <c r="H36" i="1" l="1"/>
  <c r="F36" i="1" l="1"/>
  <c r="E37" i="1" s="1"/>
  <c r="H37" i="1" l="1"/>
  <c r="G37" i="1"/>
  <c r="I18" i="1"/>
  <c r="I32" i="1" l="1"/>
  <c r="D32" i="1"/>
  <c r="J37" i="1" l="1"/>
  <c r="J39" i="1"/>
  <c r="J38" i="1"/>
  <c r="J98" i="1"/>
  <c r="J102" i="1"/>
  <c r="J68" i="1"/>
  <c r="I68" i="1" s="1"/>
  <c r="J80" i="1"/>
  <c r="I80" i="1" s="1"/>
  <c r="J95" i="1"/>
  <c r="I95" i="1" s="1"/>
  <c r="J72" i="1"/>
  <c r="I72" i="1" s="1"/>
  <c r="J87" i="1"/>
  <c r="I87" i="1" s="1"/>
  <c r="J106" i="1"/>
  <c r="J100" i="1"/>
  <c r="J94" i="1"/>
  <c r="J86" i="1"/>
  <c r="I86" i="1" s="1"/>
  <c r="J82" i="1"/>
  <c r="I82" i="1" s="1"/>
  <c r="J74" i="1"/>
  <c r="I74" i="1" s="1"/>
  <c r="J84" i="1"/>
  <c r="I84" i="1" s="1"/>
  <c r="J66" i="1"/>
  <c r="I66" i="1" s="1"/>
  <c r="J105" i="1"/>
  <c r="I105" i="1" s="1"/>
  <c r="J75" i="1"/>
  <c r="J101" i="1"/>
  <c r="I101" i="1" s="1"/>
  <c r="J65" i="1"/>
  <c r="I65" i="1" s="1"/>
  <c r="J108" i="1"/>
  <c r="J73" i="1"/>
  <c r="I73" i="1" s="1"/>
  <c r="J69" i="1"/>
  <c r="I69" i="1" s="1"/>
  <c r="J93" i="1"/>
  <c r="I93" i="1" s="1"/>
  <c r="J111" i="1"/>
  <c r="J90" i="1"/>
  <c r="I90" i="1" s="1"/>
  <c r="J67" i="1"/>
  <c r="I67" i="1" s="1"/>
  <c r="J76" i="1"/>
  <c r="J110" i="1"/>
  <c r="I110" i="1" s="1"/>
  <c r="J85" i="1"/>
  <c r="J83" i="1"/>
  <c r="J70" i="1"/>
  <c r="J96" i="1"/>
  <c r="J81" i="1"/>
  <c r="I81" i="1" s="1"/>
  <c r="J88" i="1"/>
  <c r="I88" i="1" s="1"/>
  <c r="J79" i="1"/>
  <c r="I79" i="1" s="1"/>
  <c r="J71" i="1"/>
  <c r="I71" i="1" s="1"/>
  <c r="J97" i="1"/>
  <c r="J89" i="1"/>
  <c r="I89" i="1" s="1"/>
  <c r="J78" i="1"/>
  <c r="I78" i="1" s="1"/>
  <c r="J91" i="1"/>
  <c r="J77" i="1"/>
  <c r="I77" i="1" s="1"/>
  <c r="J92" i="1"/>
  <c r="J103" i="1"/>
  <c r="J99" i="1"/>
  <c r="I99" i="1" s="1"/>
  <c r="J104" i="1"/>
  <c r="I104" i="1" s="1"/>
  <c r="J109" i="1"/>
  <c r="I109" i="1" s="1"/>
  <c r="J107" i="1"/>
  <c r="J62" i="1"/>
  <c r="J61" i="1"/>
  <c r="J64" i="1"/>
  <c r="J63" i="1"/>
  <c r="J58" i="1"/>
  <c r="J54" i="1"/>
  <c r="J50" i="1"/>
  <c r="J46" i="1"/>
  <c r="J42" i="1"/>
  <c r="J53" i="1"/>
  <c r="J45" i="1"/>
  <c r="J59" i="1"/>
  <c r="J55" i="1"/>
  <c r="J51" i="1"/>
  <c r="J47" i="1"/>
  <c r="J43" i="1"/>
  <c r="J60" i="1"/>
  <c r="J56" i="1"/>
  <c r="J52" i="1"/>
  <c r="J48" i="1"/>
  <c r="J44" i="1"/>
  <c r="J40" i="1"/>
  <c r="J57" i="1"/>
  <c r="J49" i="1"/>
  <c r="J41" i="1"/>
  <c r="I15" i="1" l="1"/>
  <c r="I37" i="1"/>
  <c r="F37" i="1" s="1"/>
  <c r="J33" i="1"/>
  <c r="I38" i="1"/>
  <c r="I39" i="1"/>
  <c r="I96" i="1"/>
  <c r="I111" i="1"/>
  <c r="I106" i="1"/>
  <c r="I107" i="1"/>
  <c r="I70" i="1"/>
  <c r="I97" i="1"/>
  <c r="I85" i="1"/>
  <c r="I108" i="1"/>
  <c r="I91" i="1"/>
  <c r="I103" i="1"/>
  <c r="I76" i="1"/>
  <c r="I92" i="1"/>
  <c r="I94" i="1"/>
  <c r="I102" i="1"/>
  <c r="I83" i="1"/>
  <c r="I75" i="1"/>
  <c r="I100" i="1"/>
  <c r="I98" i="1"/>
  <c r="I63" i="1"/>
  <c r="I64" i="1"/>
  <c r="I61" i="1"/>
  <c r="I62" i="1"/>
  <c r="I55" i="1"/>
  <c r="I59" i="1"/>
  <c r="I56" i="1"/>
  <c r="I58" i="1"/>
  <c r="I41" i="1"/>
  <c r="I45" i="1"/>
  <c r="I49" i="1"/>
  <c r="I53" i="1"/>
  <c r="I50" i="1"/>
  <c r="I60" i="1"/>
  <c r="I57" i="1"/>
  <c r="I43" i="1"/>
  <c r="I48" i="1"/>
  <c r="I52" i="1"/>
  <c r="I54" i="1"/>
  <c r="I40" i="1"/>
  <c r="I47" i="1"/>
  <c r="I42" i="1"/>
  <c r="I44" i="1"/>
  <c r="I51" i="1"/>
  <c r="I46" i="1"/>
  <c r="E38" i="1" l="1"/>
  <c r="G38" i="1" s="1"/>
  <c r="I33" i="1"/>
  <c r="H38" i="1" l="1"/>
  <c r="F38" i="1" s="1"/>
  <c r="E39" i="1" l="1"/>
  <c r="H39" i="1" s="1"/>
  <c r="G39" i="1" l="1"/>
  <c r="F39" i="1" s="1"/>
  <c r="E40" i="1" l="1"/>
  <c r="G40" i="1" s="1"/>
  <c r="H40" i="1" l="1"/>
  <c r="F40" i="1" s="1"/>
  <c r="E41" i="1" s="1"/>
  <c r="H41" i="1" l="1"/>
  <c r="G41" i="1"/>
  <c r="F41" i="1" l="1"/>
  <c r="E42" i="1" s="1"/>
  <c r="H42" i="1" s="1"/>
  <c r="G42" i="1" l="1"/>
  <c r="F42" i="1" s="1"/>
  <c r="E43" i="1" s="1"/>
  <c r="G43" i="1" l="1"/>
  <c r="H43" i="1"/>
  <c r="F43" i="1" l="1"/>
  <c r="E44" i="1" s="1"/>
  <c r="H44" i="1" s="1"/>
  <c r="G44" i="1" l="1"/>
  <c r="F44" i="1" s="1"/>
  <c r="E45" i="1" s="1"/>
  <c r="H45" i="1" l="1"/>
  <c r="G45" i="1"/>
  <c r="F45" i="1" l="1"/>
  <c r="E46" i="1" s="1"/>
  <c r="G46" i="1" s="1"/>
  <c r="H46" i="1" l="1"/>
  <c r="F46" i="1" s="1"/>
  <c r="E47" i="1" s="1"/>
  <c r="G47" i="1" l="1"/>
  <c r="H47" i="1"/>
  <c r="F47" i="1" l="1"/>
  <c r="E48" i="1" s="1"/>
  <c r="H48" i="1" l="1"/>
  <c r="G48" i="1"/>
  <c r="F48" i="1" l="1"/>
  <c r="E49" i="1" s="1"/>
  <c r="H49" i="1" s="1"/>
  <c r="G49" i="1" l="1"/>
  <c r="F49" i="1" s="1"/>
  <c r="E50" i="1" s="1"/>
  <c r="H50" i="1" s="1"/>
  <c r="G50" i="1" l="1"/>
  <c r="F50" i="1" s="1"/>
  <c r="E51" i="1" s="1"/>
  <c r="G51" i="1" s="1"/>
  <c r="H51" i="1" l="1"/>
  <c r="F51" i="1" s="1"/>
  <c r="E52" i="1" s="1"/>
  <c r="G52" i="1" s="1"/>
  <c r="H52" i="1" l="1"/>
  <c r="F52" i="1" s="1"/>
  <c r="E53" i="1" s="1"/>
  <c r="H53" i="1" s="1"/>
  <c r="G53" i="1" l="1"/>
  <c r="F53" i="1" s="1"/>
  <c r="E54" i="1" s="1"/>
  <c r="H54" i="1" s="1"/>
  <c r="G54" i="1" l="1"/>
  <c r="F54" i="1" s="1"/>
  <c r="E55" i="1" s="1"/>
  <c r="G55" i="1" l="1"/>
  <c r="H55" i="1"/>
  <c r="F55" i="1" l="1"/>
  <c r="E56" i="1" s="1"/>
  <c r="G56" i="1" s="1"/>
  <c r="H56" i="1" l="1"/>
  <c r="F56" i="1" s="1"/>
  <c r="E57" i="1" s="1"/>
  <c r="H57" i="1" s="1"/>
  <c r="G57" i="1" l="1"/>
  <c r="F57" i="1" s="1"/>
  <c r="E58" i="1" s="1"/>
  <c r="H58" i="1" s="1"/>
  <c r="G58" i="1" l="1"/>
  <c r="F58" i="1" s="1"/>
  <c r="E59" i="1" s="1"/>
  <c r="G59" i="1" s="1"/>
  <c r="H59" i="1" l="1"/>
  <c r="F59" i="1" s="1"/>
  <c r="E60" i="1" s="1"/>
  <c r="G60" i="1" l="1"/>
  <c r="H60" i="1"/>
  <c r="F60" i="1" l="1"/>
  <c r="E61" i="1" s="1"/>
  <c r="H61" i="1" l="1"/>
  <c r="G61" i="1"/>
  <c r="F61" i="1" l="1"/>
  <c r="E62" i="1" s="1"/>
  <c r="H62" i="1" s="1"/>
  <c r="G62" i="1" l="1"/>
  <c r="F62" i="1" s="1"/>
  <c r="E63" i="1" s="1"/>
  <c r="G63" i="1" l="1"/>
  <c r="H63" i="1"/>
  <c r="F63" i="1" l="1"/>
  <c r="E64" i="1" s="1"/>
  <c r="H64" i="1" s="1"/>
  <c r="G64" i="1" l="1"/>
  <c r="F64" i="1" s="1"/>
  <c r="E65" i="1" s="1"/>
  <c r="G65" i="1" s="1"/>
  <c r="H65" i="1" l="1"/>
  <c r="F65" i="1" s="1"/>
  <c r="E66" i="1" s="1"/>
  <c r="H66" i="1" s="1"/>
  <c r="G66" i="1" l="1"/>
  <c r="F66" i="1" s="1"/>
  <c r="E67" i="1" s="1"/>
  <c r="G67" i="1" s="1"/>
  <c r="H67" i="1" l="1"/>
  <c r="F67" i="1" s="1"/>
  <c r="E68" i="1" s="1"/>
  <c r="H68" i="1" s="1"/>
  <c r="G68" i="1" l="1"/>
  <c r="F68" i="1" s="1"/>
  <c r="E69" i="1" s="1"/>
  <c r="H69" i="1" s="1"/>
  <c r="G69" i="1" l="1"/>
  <c r="F69" i="1" s="1"/>
  <c r="E70" i="1" s="1"/>
  <c r="H70" i="1" s="1"/>
  <c r="G70" i="1" l="1"/>
  <c r="F70" i="1" s="1"/>
  <c r="E71" i="1" s="1"/>
  <c r="G71" i="1" l="1"/>
  <c r="H71" i="1"/>
  <c r="F71" i="1" l="1"/>
  <c r="E72" i="1" s="1"/>
  <c r="G72" i="1" s="1"/>
  <c r="H72" i="1" l="1"/>
  <c r="F72" i="1" s="1"/>
  <c r="E73" i="1" s="1"/>
  <c r="G73" i="1" s="1"/>
  <c r="H73" i="1" l="1"/>
  <c r="F73" i="1" s="1"/>
  <c r="E74" i="1" s="1"/>
  <c r="G74" i="1" s="1"/>
  <c r="H74" i="1" l="1"/>
  <c r="F74" i="1" s="1"/>
  <c r="E75" i="1" s="1"/>
  <c r="H75" i="1" s="1"/>
  <c r="G75" i="1" l="1"/>
  <c r="F75" i="1" s="1"/>
  <c r="E76" i="1" s="1"/>
  <c r="G76" i="1" l="1"/>
  <c r="H76" i="1"/>
  <c r="F76" i="1" l="1"/>
  <c r="E77" i="1" s="1"/>
  <c r="H77" i="1" s="1"/>
  <c r="G77" i="1" l="1"/>
  <c r="F77" i="1" s="1"/>
  <c r="E78" i="1" s="1"/>
  <c r="G78" i="1" s="1"/>
  <c r="H78" i="1" l="1"/>
  <c r="F78" i="1" s="1"/>
  <c r="E79" i="1" s="1"/>
  <c r="G79" i="1" s="1"/>
  <c r="H79" i="1" l="1"/>
  <c r="F79" i="1" s="1"/>
  <c r="E80" i="1" s="1"/>
  <c r="G80" i="1" s="1"/>
  <c r="H80" i="1" l="1"/>
  <c r="F80" i="1" s="1"/>
  <c r="E81" i="1" s="1"/>
  <c r="H81" i="1" s="1"/>
  <c r="G81" i="1" l="1"/>
  <c r="F81" i="1" s="1"/>
  <c r="E82" i="1" s="1"/>
  <c r="G82" i="1" s="1"/>
  <c r="H82" i="1" l="1"/>
  <c r="F82" i="1" s="1"/>
  <c r="E83" i="1" s="1"/>
  <c r="G83" i="1" s="1"/>
  <c r="H83" i="1" l="1"/>
  <c r="F83" i="1" s="1"/>
  <c r="E84" i="1" s="1"/>
  <c r="G84" i="1" s="1"/>
  <c r="H84" i="1" l="1"/>
  <c r="F84" i="1" s="1"/>
  <c r="E85" i="1" s="1"/>
  <c r="H85" i="1" s="1"/>
  <c r="G85" i="1" l="1"/>
  <c r="F85" i="1" s="1"/>
  <c r="E86" i="1" s="1"/>
  <c r="G86" i="1" l="1"/>
  <c r="H86" i="1"/>
  <c r="F86" i="1" l="1"/>
  <c r="E87" i="1" s="1"/>
  <c r="G87" i="1" s="1"/>
  <c r="H87" i="1" l="1"/>
  <c r="F87" i="1" s="1"/>
  <c r="E88" i="1" s="1"/>
  <c r="G88" i="1" s="1"/>
  <c r="H88" i="1" l="1"/>
  <c r="F88" i="1" s="1"/>
  <c r="E89" i="1" s="1"/>
  <c r="H89" i="1" s="1"/>
  <c r="G89" i="1" l="1"/>
  <c r="F89" i="1" s="1"/>
  <c r="E90" i="1" s="1"/>
  <c r="H90" i="1" s="1"/>
  <c r="G90" i="1" l="1"/>
  <c r="F90" i="1" s="1"/>
  <c r="E91" i="1" s="1"/>
  <c r="G91" i="1" l="1"/>
  <c r="H91" i="1"/>
  <c r="F91" i="1" l="1"/>
  <c r="E92" i="1" s="1"/>
  <c r="G92" i="1" s="1"/>
  <c r="H92" i="1" l="1"/>
  <c r="F92" i="1" s="1"/>
  <c r="E93" i="1" s="1"/>
  <c r="H93" i="1" s="1"/>
  <c r="G93" i="1" l="1"/>
  <c r="F93" i="1" s="1"/>
  <c r="E94" i="1" s="1"/>
  <c r="G94" i="1" s="1"/>
  <c r="H94" i="1" l="1"/>
  <c r="F94" i="1" s="1"/>
  <c r="E95" i="1" s="1"/>
  <c r="G95" i="1" s="1"/>
  <c r="H95" i="1" l="1"/>
  <c r="F95" i="1" s="1"/>
  <c r="E96" i="1" s="1"/>
  <c r="H96" i="1" s="1"/>
  <c r="G96" i="1" l="1"/>
  <c r="F96" i="1" s="1"/>
  <c r="E97" i="1" s="1"/>
  <c r="H97" i="1" l="1"/>
  <c r="G97" i="1"/>
  <c r="F97" i="1" l="1"/>
  <c r="E98" i="1" s="1"/>
  <c r="H98" i="1" s="1"/>
  <c r="G98" i="1" l="1"/>
  <c r="F98" i="1" s="1"/>
  <c r="E99" i="1" s="1"/>
  <c r="G99" i="1" s="1"/>
  <c r="H99" i="1" l="1"/>
  <c r="F99" i="1" s="1"/>
  <c r="E100" i="1" s="1"/>
  <c r="G100" i="1" s="1"/>
  <c r="H100" i="1" l="1"/>
  <c r="F100" i="1" s="1"/>
  <c r="E101" i="1" s="1"/>
  <c r="H101" i="1" l="1"/>
  <c r="G101" i="1"/>
  <c r="F101" i="1" l="1"/>
  <c r="E102" i="1" s="1"/>
  <c r="H102" i="1" s="1"/>
  <c r="G102" i="1" l="1"/>
  <c r="F102" i="1" s="1"/>
  <c r="E103" i="1" s="1"/>
  <c r="G103" i="1" l="1"/>
  <c r="H103" i="1"/>
  <c r="F103" i="1" l="1"/>
  <c r="E104" i="1" s="1"/>
  <c r="H104" i="1" s="1"/>
  <c r="G104" i="1" l="1"/>
  <c r="F104" i="1" s="1"/>
  <c r="E105" i="1" s="1"/>
  <c r="H105" i="1" s="1"/>
  <c r="G105" i="1" l="1"/>
  <c r="F105" i="1" s="1"/>
  <c r="E106" i="1" s="1"/>
  <c r="G106" i="1" s="1"/>
  <c r="H106" i="1" l="1"/>
  <c r="F106" i="1" s="1"/>
  <c r="E107" i="1" s="1"/>
  <c r="G107" i="1" s="1"/>
  <c r="H107" i="1" l="1"/>
  <c r="F107" i="1" s="1"/>
  <c r="E108" i="1" s="1"/>
  <c r="G108" i="1" s="1"/>
  <c r="H108" i="1" l="1"/>
  <c r="F108" i="1" s="1"/>
  <c r="E109" i="1" s="1"/>
  <c r="H109" i="1" s="1"/>
  <c r="G109" i="1" l="1"/>
  <c r="F109" i="1" s="1"/>
  <c r="E110" i="1" s="1"/>
  <c r="G110" i="1" s="1"/>
  <c r="H110" i="1" l="1"/>
  <c r="F110" i="1" s="1"/>
  <c r="E111" i="1" s="1"/>
  <c r="G111" i="1" s="1"/>
  <c r="G33" i="1" s="1"/>
  <c r="H111" i="1" l="1"/>
  <c r="F111" i="1" l="1"/>
  <c r="F33" i="1" s="1"/>
  <c r="H33" i="1"/>
  <c r="I20" i="1" l="1"/>
  <c r="I14" i="1" l="1"/>
  <c r="D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tc={B30DA49C-D875-4F6F-912C-B254540D4B8E}</author>
  </authors>
  <commentList>
    <comment ref="D10" authorId="0" shapeId="0" xr:uid="{B30DA49C-D875-4F6F-912C-B254540D4B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TEM varia según el convenio al que pertenezcas.</t>
      </text>
    </comment>
  </commentList>
</comments>
</file>

<file path=xl/sharedStrings.xml><?xml version="1.0" encoding="utf-8"?>
<sst xmlns="http://schemas.openxmlformats.org/spreadsheetml/2006/main" count="81" uniqueCount="77">
  <si>
    <t>SIMULADOR PRODUCTO CRÉDITO POR CONVENIO</t>
  </si>
  <si>
    <t xml:space="preserve">Importante: Las condiciones de tu crédito pueden variar según el convenio al que estés afiliado, incluyendo comisiones y la Tasa Efectiva Anual (TEA). Por lo tanto, considera este simulador como una estimación aproximada. </t>
  </si>
  <si>
    <r>
      <t xml:space="preserve">Para obtener información exacta sobre el cronograma de tu crédito (como cuotas, TEA, entre otros), y conocer las condiciones reales de tu convenio, te invitamos a contactar a tu gestor directamente o a comunicarte con la banca telefónica al </t>
    </r>
    <r>
      <rPr>
        <sz val="11"/>
        <color theme="1"/>
        <rFont val="Aptos Narrow"/>
        <family val="2"/>
        <scheme val="minor"/>
      </rPr>
      <t>número (01) 311-9000. Ellos podrán brindarte todos los detalles y asegurarse de que tengas la información más precisa.</t>
    </r>
  </si>
  <si>
    <t>Los campos en amarillo se pueden modificar a flexibilidad del crédito. Agradeceremos que los otros campos no sean editados.</t>
  </si>
  <si>
    <t>Moneda</t>
  </si>
  <si>
    <t>Soles</t>
  </si>
  <si>
    <t>Retirar u ocultar esta información (puede confundir)</t>
  </si>
  <si>
    <t>Monto</t>
  </si>
  <si>
    <t>TEM</t>
  </si>
  <si>
    <t>TEA (1)</t>
  </si>
  <si>
    <t>Comision</t>
  </si>
  <si>
    <t>Pizarra</t>
  </si>
  <si>
    <t>Tasa Nuevo</t>
  </si>
  <si>
    <t>Tasa Ampliación</t>
  </si>
  <si>
    <t>Tasa CDC</t>
  </si>
  <si>
    <t>Tasa CDNC</t>
  </si>
  <si>
    <t xml:space="preserve">TCEA </t>
  </si>
  <si>
    <t>Plazo (2)</t>
  </si>
  <si>
    <t>Tradicional (Sin Devol)</t>
  </si>
  <si>
    <t>0007315161</t>
  </si>
  <si>
    <t>LA MARINA</t>
  </si>
  <si>
    <t>Período de gracia (3)</t>
  </si>
  <si>
    <t>Con Devolución</t>
  </si>
  <si>
    <t>TCEA</t>
  </si>
  <si>
    <t>0008355109</t>
  </si>
  <si>
    <t>SUBCAFAE DRE AREQUIPA</t>
  </si>
  <si>
    <t>ITF</t>
  </si>
  <si>
    <t>Sin Seguro (Endoso)</t>
  </si>
  <si>
    <t>TCEM</t>
  </si>
  <si>
    <t>No mostrar dato de la TCEM</t>
  </si>
  <si>
    <t>0017814868</t>
  </si>
  <si>
    <t>SUB CAFAE UGEL CHULUCANAS</t>
  </si>
  <si>
    <t>Tipo de seguro de desgravamen (4) (5)</t>
  </si>
  <si>
    <t>Tasa del seguro</t>
  </si>
  <si>
    <t>0016205021</t>
  </si>
  <si>
    <t>SUB CAFAE UGEL CALCA</t>
  </si>
  <si>
    <t>Comisión de soporte al servicio de descuento 
automático (6)</t>
  </si>
  <si>
    <t>0008950776</t>
  </si>
  <si>
    <t>SUBCAFAE TACNA</t>
  </si>
  <si>
    <t>Día de pago</t>
  </si>
  <si>
    <t>días entre primera cuota y desembolso</t>
  </si>
  <si>
    <t>VF = VA (1+r)n</t>
  </si>
  <si>
    <t>0000755124</t>
  </si>
  <si>
    <t>COLEGIO MILITAR ELIAS AGUIRRE</t>
  </si>
  <si>
    <t>Fecha de desembolso</t>
  </si>
  <si>
    <t>Saldo capitalizado</t>
  </si>
  <si>
    <t>0009184875</t>
  </si>
  <si>
    <t>GOB.REG. TACNA</t>
  </si>
  <si>
    <t>Primer vencimiento</t>
  </si>
  <si>
    <t>Días transcurridos desde el desembolso y primer vcto.</t>
  </si>
  <si>
    <t xml:space="preserve">(1) La TEA es fija durante todo el crédito </t>
  </si>
  <si>
    <t>(2) El plazo máximo del crédito es 72 meses</t>
  </si>
  <si>
    <t>(3) El plazo máximo de periodo de gracia es 3 meses</t>
  </si>
  <si>
    <t>(4) Se calcula sobre el saldo de capital del crédito. El cliente puede elegir contratar el seguro de desgravamen tradicional sin devolución o seguro de desgravamen con devolución. Consultar condiciones y requisitos en www.Interbank.pe</t>
  </si>
  <si>
    <t xml:space="preserve">(5) El cliente tiene la opción de endosar sin costo adicional un seguro de vida personal en cualquier momento del plazo del crédito, en caso de contar con uno, siempre y cuando brinde coberturas, condiciones y plazos iguales </t>
  </si>
  <si>
    <t>o superiores al seguro de Desgravamen Tradicional o con Devolución, ambos ofrecidos por Interbank a través de Interseguro. Para mayor información con respecto a condiciones, coberturas y procedimientos ingresar a www.interbank.pe</t>
  </si>
  <si>
    <t>(6) El importe de la comisión varía de acuerdo a la institución en la que labora el cliente. Se cobra durante la vigencia del crédito, siempre y cuando el cliente tenga algún saldo deudor</t>
  </si>
  <si>
    <t>Cuota fija</t>
  </si>
  <si>
    <t>0009535399</t>
  </si>
  <si>
    <t>AGRICOLA VIÑASOL</t>
  </si>
  <si>
    <t>Mes calendario</t>
  </si>
  <si>
    <t>Vencimiento</t>
  </si>
  <si>
    <t>Nro cuota</t>
  </si>
  <si>
    <t>Saldo adeudado</t>
  </si>
  <si>
    <t>Amortización</t>
  </si>
  <si>
    <t>Interes</t>
  </si>
  <si>
    <t>Desgravamen</t>
  </si>
  <si>
    <t>Comisión</t>
  </si>
  <si>
    <t>Cuota</t>
  </si>
  <si>
    <t>0008403922</t>
  </si>
  <si>
    <t>DRE AGRICULTURA LAMBAYEQUE</t>
  </si>
  <si>
    <t>NN</t>
  </si>
  <si>
    <t>0009101120</t>
  </si>
  <si>
    <t>SUBCAFAE USE 05 LIMA</t>
  </si>
  <si>
    <t>0009221823</t>
  </si>
  <si>
    <t>UGEL 06 -VITARTE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</si>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</sst>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%"/>
    <numFmt numFmtId="165" formatCode="0.00000%"/>
    <numFmt numFmtId="166" formatCode="&quot;S/&quot;#,##0.00;[Red]\-&quot;S/&quot;#,##0.00"/>
    <numFmt numFmtId="167" formatCode="_-* #,##0_-;\-* #,##0_-;_-* &quot;-&quot;??_-;_-@_-"/>
    <numFmt numFmtId="168" formatCode="0.0000%"/>
    <numFmt numFmtId="169" formatCode="&quot;S/&quot;\ 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43" fontId="3" fillId="0" borderId="0" xfId="1" applyFont="1"/>
    <xf numFmtId="9" fontId="0" fillId="0" borderId="0" xfId="0" applyNumberFormat="1"/>
    <xf numFmtId="0" fontId="4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6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10" fontId="3" fillId="0" borderId="1" xfId="0" applyNumberFormat="1" applyFont="1" applyFill="1" applyBorder="1" applyAlignment="1" applyProtection="1">
      <alignment horizontal="center"/>
      <protection locked="0"/>
    </xf>
    <xf numFmtId="10" fontId="6" fillId="0" borderId="0" xfId="0" applyNumberFormat="1" applyFont="1" applyProtection="1">
      <protection locked="0"/>
    </xf>
    <xf numFmtId="9" fontId="3" fillId="0" borderId="0" xfId="0" applyNumberFormat="1" applyFont="1" applyProtection="1">
      <protection locked="0"/>
    </xf>
    <xf numFmtId="10" fontId="3" fillId="0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Protection="1">
      <protection locked="0"/>
    </xf>
    <xf numFmtId="10" fontId="6" fillId="0" borderId="0" xfId="2" applyNumberFormat="1" applyFont="1" applyFill="1" applyProtection="1">
      <protection locked="0"/>
    </xf>
    <xf numFmtId="10" fontId="2" fillId="0" borderId="0" xfId="2" applyNumberFormat="1" applyFont="1" applyFill="1" applyBorder="1" applyProtection="1"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Protection="1"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5" fontId="6" fillId="0" borderId="0" xfId="0" applyNumberFormat="1" applyFont="1" applyProtection="1"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43" fontId="6" fillId="0" borderId="0" xfId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66" fontId="6" fillId="0" borderId="0" xfId="0" applyNumberFormat="1" applyFont="1" applyProtection="1"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14" fontId="3" fillId="0" borderId="1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Fill="1" applyProtection="1">
      <protection locked="0"/>
    </xf>
    <xf numFmtId="14" fontId="3" fillId="0" borderId="1" xfId="0" applyNumberFormat="1" applyFont="1" applyBorder="1" applyAlignment="1" applyProtection="1">
      <alignment horizontal="right"/>
      <protection locked="0"/>
    </xf>
    <xf numFmtId="14" fontId="6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14" fontId="3" fillId="0" borderId="0" xfId="0" applyNumberFormat="1" applyFont="1" applyProtection="1">
      <protection locked="0"/>
    </xf>
    <xf numFmtId="43" fontId="3" fillId="0" borderId="0" xfId="1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0" fontId="6" fillId="0" borderId="0" xfId="2" applyNumberFormat="1" applyFont="1" applyProtection="1">
      <protection locked="0"/>
    </xf>
    <xf numFmtId="166" fontId="6" fillId="0" borderId="0" xfId="1" applyNumberFormat="1" applyFont="1" applyProtection="1">
      <protection locked="0"/>
    </xf>
    <xf numFmtId="0" fontId="6" fillId="4" borderId="0" xfId="0" applyFont="1" applyFill="1" applyProtection="1">
      <protection locked="0"/>
    </xf>
    <xf numFmtId="10" fontId="7" fillId="5" borderId="0" xfId="2" applyNumberFormat="1" applyFont="1" applyFill="1" applyAlignment="1" applyProtection="1">
      <alignment horizontal="center"/>
      <protection locked="0"/>
    </xf>
    <xf numFmtId="4" fontId="7" fillId="5" borderId="0" xfId="0" applyNumberFormat="1" applyFont="1" applyFill="1" applyAlignment="1" applyProtection="1">
      <alignment horizontal="right"/>
      <protection locked="0"/>
    </xf>
    <xf numFmtId="4" fontId="7" fillId="5" borderId="0" xfId="1" applyNumberFormat="1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169" fontId="3" fillId="0" borderId="0" xfId="1" applyNumberFormat="1" applyFont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167" fontId="6" fillId="0" borderId="0" xfId="1" applyNumberFormat="1" applyFont="1" applyFill="1" applyProtection="1">
      <protection locked="0"/>
    </xf>
    <xf numFmtId="167" fontId="6" fillId="0" borderId="0" xfId="1" applyNumberFormat="1" applyFont="1" applyProtection="1">
      <protection locked="0"/>
    </xf>
    <xf numFmtId="167" fontId="3" fillId="0" borderId="0" xfId="1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0" fontId="3" fillId="0" borderId="1" xfId="2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 la cruz Velezmoro, Romina Natalia" id="{097783E8-57E6-439F-99D2-05D9F9D24979}" userId="S::rdelacruzv@intercorp.com.pe::4fe4b4c9-d946-4ca2-9307-7d772a7ea12f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5-02-17T20:00:04.25" personId="{097783E8-57E6-439F-99D2-05D9F9D24979}" id="{B30DA49C-D875-4F6F-912C-B254540D4B8E}">
    <text>La TEM varia según el convenio al que pertenezcas.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6A65-526D-4359-BE21-2AB7D87E21EA}">
  <dimension ref="A1:AC111"/>
  <sheetViews>
    <sheetView showGridLines="0" tabSelected="1" topLeftCell="B1" zoomScale="80" zoomScaleNormal="80" workbookViewId="0">
      <selection activeCell="F12" sqref="F12"/>
    </sheetView>
  </sheetViews>
  <sheetFormatPr baseColWidth="10" defaultColWidth="10.85546875" defaultRowHeight="15" x14ac:dyDescent="0.25"/>
  <cols>
    <col min="1" max="1" width="0" style="4" hidden="1" customWidth="1"/>
    <col min="2" max="2" width="11.7109375" style="4" customWidth="1"/>
    <col min="3" max="3" width="55.7109375" style="4" customWidth="1"/>
    <col min="4" max="4" width="32" style="4" customWidth="1"/>
    <col min="5" max="5" width="21.28515625" style="4" customWidth="1"/>
    <col min="6" max="6" width="10.85546875" style="4"/>
    <col min="7" max="7" width="15.5703125" style="4" customWidth="1"/>
    <col min="8" max="8" width="15.85546875" style="4" customWidth="1"/>
    <col min="9" max="9" width="27" style="4" customWidth="1"/>
    <col min="10" max="10" width="12.7109375" style="4" bestFit="1" customWidth="1"/>
    <col min="11" max="12" width="10.85546875" style="4"/>
    <col min="13" max="13" width="3.5703125" style="4" customWidth="1"/>
    <col min="14" max="14" width="10.85546875" style="4" hidden="1" customWidth="1"/>
    <col min="15" max="16" width="10.85546875" style="4"/>
    <col min="17" max="18" width="11.42578125" style="4" hidden="1" customWidth="1"/>
    <col min="19" max="19" width="23.85546875" style="4" hidden="1" customWidth="1"/>
    <col min="20" max="20" width="11.42578125" style="4" hidden="1" customWidth="1"/>
    <col min="21" max="25" width="6.5703125" style="4" hidden="1" customWidth="1"/>
    <col min="26" max="26" width="11.42578125" style="4" hidden="1" customWidth="1"/>
    <col min="27" max="28" width="0" style="4" hidden="1" customWidth="1"/>
    <col min="29" max="16384" width="10.85546875" style="4"/>
  </cols>
  <sheetData>
    <row r="1" spans="2:29" x14ac:dyDescent="0.25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2:29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29" ht="21" x14ac:dyDescent="0.25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29" ht="12.7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2:29" ht="33" customHeight="1" x14ac:dyDescent="0.2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2:29" ht="28.5" customHeight="1" x14ac:dyDescent="0.25">
      <c r="B6" s="5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2:29" ht="1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2:29" ht="21" customHeight="1" x14ac:dyDescent="0.25">
      <c r="B8" s="7"/>
      <c r="C8" s="10" t="s">
        <v>4</v>
      </c>
      <c r="D8" s="11" t="s">
        <v>5</v>
      </c>
      <c r="E8" s="12"/>
      <c r="F8" s="7"/>
      <c r="G8" s="7"/>
      <c r="H8" s="7"/>
      <c r="I8" s="7"/>
      <c r="J8" s="7"/>
      <c r="K8" s="7"/>
      <c r="L8" s="7"/>
      <c r="Q8" s="9" t="s">
        <v>6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2:29" ht="21" x14ac:dyDescent="0.25">
      <c r="B9" s="7"/>
      <c r="C9" s="10" t="s">
        <v>7</v>
      </c>
      <c r="D9" s="13">
        <v>49000</v>
      </c>
      <c r="E9" s="14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2:29" hidden="1" x14ac:dyDescent="0.25">
      <c r="C10" s="10" t="s">
        <v>8</v>
      </c>
      <c r="D10" s="15">
        <f>(1+D11)^(1/12)-1</f>
        <v>7.9741404289037643E-3</v>
      </c>
      <c r="E10" s="14"/>
      <c r="F10" s="16"/>
      <c r="G10" s="16"/>
      <c r="H10" s="9"/>
      <c r="I10" s="17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2:29" ht="21" x14ac:dyDescent="0.25">
      <c r="B11" s="7"/>
      <c r="C11" s="10" t="s">
        <v>9</v>
      </c>
      <c r="D11" s="18">
        <v>0.1</v>
      </c>
      <c r="E11" s="14"/>
      <c r="F11" s="16"/>
      <c r="G11" s="16"/>
      <c r="H11" s="9"/>
      <c r="I11" s="9"/>
      <c r="J11" s="9"/>
      <c r="K11" s="9"/>
      <c r="L11" s="9"/>
      <c r="M11" s="9"/>
      <c r="N11" s="9"/>
      <c r="O11" s="9"/>
      <c r="Q11" s="9"/>
      <c r="R11" s="9"/>
      <c r="S11" s="9"/>
      <c r="T11" s="9" t="s">
        <v>10</v>
      </c>
      <c r="U11" s="9" t="s">
        <v>11</v>
      </c>
      <c r="V11" s="9" t="s">
        <v>12</v>
      </c>
      <c r="W11" s="9" t="s">
        <v>13</v>
      </c>
      <c r="X11" s="9" t="s">
        <v>14</v>
      </c>
      <c r="Y11" s="9" t="s">
        <v>15</v>
      </c>
      <c r="Z11" s="9"/>
      <c r="AA11" s="9"/>
      <c r="AB11" s="9"/>
      <c r="AC11" s="9"/>
    </row>
    <row r="12" spans="2:29" ht="21" x14ac:dyDescent="0.25">
      <c r="B12" s="7"/>
      <c r="C12" s="10" t="s">
        <v>16</v>
      </c>
      <c r="D12" s="57">
        <f>I14</f>
        <v>0.10847734702910827</v>
      </c>
      <c r="E12" s="19"/>
      <c r="F12" s="16"/>
      <c r="G12" s="16"/>
      <c r="H12" s="9"/>
      <c r="I12" s="9"/>
      <c r="J12" s="9"/>
      <c r="K12" s="9"/>
      <c r="L12" s="9"/>
      <c r="M12" s="9"/>
      <c r="N12" s="9"/>
      <c r="O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2:29" x14ac:dyDescent="0.25">
      <c r="C13" s="10" t="s">
        <v>17</v>
      </c>
      <c r="D13" s="11">
        <v>72</v>
      </c>
      <c r="E13" s="14"/>
      <c r="F13" s="9" t="s">
        <v>18</v>
      </c>
      <c r="G13" s="9" t="s">
        <v>18</v>
      </c>
      <c r="H13" s="9"/>
      <c r="I13" s="9"/>
      <c r="J13" s="9"/>
      <c r="K13" s="9"/>
      <c r="L13" s="9"/>
      <c r="M13" s="9"/>
      <c r="N13" s="9"/>
      <c r="O13" s="9"/>
      <c r="Q13" s="20">
        <v>0.25320664019240557</v>
      </c>
      <c r="R13" s="9" t="s">
        <v>19</v>
      </c>
      <c r="S13" s="9" t="s">
        <v>20</v>
      </c>
      <c r="T13" s="9">
        <v>15</v>
      </c>
      <c r="U13" s="20">
        <v>1.2999999999999999E-2</v>
      </c>
      <c r="V13" s="20">
        <v>8.0000000000000002E-3</v>
      </c>
      <c r="W13" s="20">
        <v>8.0000000000000002E-3</v>
      </c>
      <c r="X13" s="20">
        <v>8.0000000000000002E-3</v>
      </c>
      <c r="Y13" s="20">
        <v>8.0000000000000002E-3</v>
      </c>
      <c r="Z13" s="16">
        <f>MAX(U13:Y13)</f>
        <v>1.2999999999999999E-2</v>
      </c>
      <c r="AA13" s="9"/>
      <c r="AB13" s="9"/>
      <c r="AC13" s="9"/>
    </row>
    <row r="14" spans="2:29" x14ac:dyDescent="0.25">
      <c r="C14" s="10" t="s">
        <v>21</v>
      </c>
      <c r="D14" s="11">
        <v>3</v>
      </c>
      <c r="F14" s="9" t="s">
        <v>22</v>
      </c>
      <c r="G14" s="9" t="s">
        <v>27</v>
      </c>
      <c r="H14" s="9"/>
      <c r="I14" s="21">
        <f>(1+I15)^12-1</f>
        <v>0.10847734702910827</v>
      </c>
      <c r="J14" s="9" t="s">
        <v>23</v>
      </c>
      <c r="K14" s="9"/>
      <c r="L14" s="9"/>
      <c r="M14" s="9"/>
      <c r="N14" s="9"/>
      <c r="O14" s="9"/>
      <c r="Q14" s="20">
        <v>0.29741905976307925</v>
      </c>
      <c r="R14" s="9" t="s">
        <v>24</v>
      </c>
      <c r="S14" s="9" t="s">
        <v>25</v>
      </c>
      <c r="T14" s="9">
        <v>15</v>
      </c>
      <c r="U14" s="20">
        <v>1.6E-2</v>
      </c>
      <c r="V14" s="20">
        <v>1.0200000000000001E-2</v>
      </c>
      <c r="W14" s="20">
        <v>0.01</v>
      </c>
      <c r="X14" s="20">
        <v>9.7999999999999997E-3</v>
      </c>
      <c r="Y14" s="20">
        <v>9.9000000000000008E-3</v>
      </c>
      <c r="Z14" s="16">
        <f t="shared" ref="Z14:AA38" si="0">MAX(U14:Y14)</f>
        <v>1.6E-2</v>
      </c>
      <c r="AA14" s="9"/>
      <c r="AB14" s="9"/>
      <c r="AC14" s="9"/>
    </row>
    <row r="15" spans="2:29" hidden="1" x14ac:dyDescent="0.25">
      <c r="C15" s="10" t="s">
        <v>26</v>
      </c>
      <c r="D15" s="22"/>
      <c r="F15" s="9" t="s">
        <v>27</v>
      </c>
      <c r="G15" s="9"/>
      <c r="H15" s="9"/>
      <c r="I15" s="21">
        <f>IRR(J35:J111,2%)</f>
        <v>8.6192094945560793E-3</v>
      </c>
      <c r="J15" s="9" t="s">
        <v>28</v>
      </c>
      <c r="K15" s="9" t="s">
        <v>29</v>
      </c>
      <c r="L15" s="9"/>
      <c r="M15" s="9"/>
      <c r="N15" s="9"/>
      <c r="O15" s="9"/>
      <c r="Q15" s="20">
        <v>0.26852791099009399</v>
      </c>
      <c r="R15" s="23" t="s">
        <v>30</v>
      </c>
      <c r="S15" s="9" t="s">
        <v>31</v>
      </c>
      <c r="T15" s="9">
        <v>12</v>
      </c>
      <c r="U15" s="20">
        <v>1.5100000000000001E-2</v>
      </c>
      <c r="V15" s="20">
        <v>9.7000000000000003E-3</v>
      </c>
      <c r="W15" s="20">
        <v>8.0000000000000002E-3</v>
      </c>
      <c r="X15" s="20">
        <v>9.4000000000000004E-3</v>
      </c>
      <c r="Y15" s="20">
        <v>8.0000000000000002E-3</v>
      </c>
      <c r="Z15" s="16">
        <f t="shared" si="0"/>
        <v>1.5100000000000001E-2</v>
      </c>
      <c r="AA15" s="9"/>
      <c r="AB15" s="9"/>
      <c r="AC15" s="9"/>
    </row>
    <row r="16" spans="2:29" x14ac:dyDescent="0.25">
      <c r="C16" s="10" t="s">
        <v>32</v>
      </c>
      <c r="D16" s="24" t="s">
        <v>18</v>
      </c>
      <c r="F16" s="9"/>
      <c r="G16" s="9"/>
      <c r="H16" s="9"/>
      <c r="I16" s="21"/>
      <c r="J16" s="9"/>
      <c r="K16" s="9"/>
      <c r="L16" s="9"/>
      <c r="M16" s="9"/>
      <c r="N16" s="9"/>
      <c r="O16" s="9"/>
      <c r="Q16" s="20"/>
      <c r="R16" s="23"/>
      <c r="S16" s="9"/>
      <c r="T16" s="9"/>
      <c r="U16" s="20"/>
      <c r="V16" s="20"/>
      <c r="W16" s="20"/>
      <c r="X16" s="20"/>
      <c r="Y16" s="20"/>
      <c r="Z16" s="16"/>
      <c r="AA16" s="9"/>
      <c r="AB16" s="9"/>
      <c r="AC16" s="9"/>
    </row>
    <row r="17" spans="3:29" x14ac:dyDescent="0.25">
      <c r="C17" s="10" t="s">
        <v>33</v>
      </c>
      <c r="D17" s="58">
        <f>IF(D16=F13,0.07%,IF(D16=F14,0.0854%,0))</f>
        <v>7.000000000000001E-4</v>
      </c>
      <c r="F17" s="9"/>
      <c r="G17" s="9"/>
      <c r="H17" s="9"/>
      <c r="I17" s="25"/>
      <c r="J17" s="9"/>
      <c r="K17" s="9"/>
      <c r="L17" s="9"/>
      <c r="M17" s="9"/>
      <c r="N17" s="9"/>
      <c r="O17" s="9"/>
      <c r="Q17" s="20">
        <v>0.27667158955752336</v>
      </c>
      <c r="R17" s="23" t="s">
        <v>34</v>
      </c>
      <c r="S17" s="9" t="s">
        <v>35</v>
      </c>
      <c r="T17" s="9">
        <v>11</v>
      </c>
      <c r="U17" s="20">
        <v>1.6E-2</v>
      </c>
      <c r="V17" s="20">
        <v>1.0500000000000001E-2</v>
      </c>
      <c r="W17" s="20">
        <v>9.4000000000000004E-3</v>
      </c>
      <c r="X17" s="20">
        <v>8.5000000000000006E-3</v>
      </c>
      <c r="Y17" s="20">
        <v>8.5000000000000006E-3</v>
      </c>
      <c r="Z17" s="16">
        <f t="shared" si="0"/>
        <v>1.6E-2</v>
      </c>
      <c r="AA17" s="9"/>
      <c r="AB17" s="9"/>
      <c r="AC17" s="9"/>
    </row>
    <row r="18" spans="3:29" ht="30" x14ac:dyDescent="0.25">
      <c r="C18" s="26" t="s">
        <v>36</v>
      </c>
      <c r="D18" s="11">
        <v>3</v>
      </c>
      <c r="E18" s="9"/>
      <c r="F18" s="9"/>
      <c r="G18" s="9"/>
      <c r="H18" s="9"/>
      <c r="I18" s="27">
        <f>E37*POWER(1+D17+D10,D14)</f>
        <v>50460.666800489569</v>
      </c>
      <c r="J18" s="9"/>
      <c r="K18" s="9"/>
      <c r="Q18" s="20">
        <v>0.30663840454108593</v>
      </c>
      <c r="R18" s="23" t="s">
        <v>37</v>
      </c>
      <c r="S18" s="9" t="s">
        <v>38</v>
      </c>
      <c r="T18" s="9">
        <v>11</v>
      </c>
      <c r="U18" s="20">
        <v>1.7999999999999999E-2</v>
      </c>
      <c r="V18" s="20">
        <v>0.01</v>
      </c>
      <c r="W18" s="20">
        <v>8.8000000000000005E-3</v>
      </c>
      <c r="X18" s="20">
        <v>9.1999999999999998E-3</v>
      </c>
      <c r="Y18" s="20">
        <v>8.9999999999999993E-3</v>
      </c>
      <c r="Z18" s="16">
        <f t="shared" si="0"/>
        <v>1.7999999999999999E-2</v>
      </c>
      <c r="AA18" s="9"/>
      <c r="AB18" s="9"/>
      <c r="AC18" s="9"/>
    </row>
    <row r="19" spans="3:29" x14ac:dyDescent="0.25">
      <c r="C19" s="10" t="s">
        <v>39</v>
      </c>
      <c r="D19" s="28">
        <v>17</v>
      </c>
      <c r="E19" s="9"/>
      <c r="F19" s="9" t="s">
        <v>40</v>
      </c>
      <c r="G19" s="9">
        <v>2</v>
      </c>
      <c r="H19" s="9"/>
      <c r="I19" s="29">
        <f>-FV(D17+D10,D14,0,D9*(1+D15),0)</f>
        <v>50286.191007516019</v>
      </c>
      <c r="J19" s="9" t="s">
        <v>41</v>
      </c>
      <c r="K19" s="9"/>
      <c r="Q19" s="20">
        <v>0.27960025502612562</v>
      </c>
      <c r="R19" s="23" t="s">
        <v>42</v>
      </c>
      <c r="S19" s="9" t="s">
        <v>43</v>
      </c>
      <c r="T19" s="9">
        <v>0</v>
      </c>
      <c r="U19" s="20">
        <v>0.02</v>
      </c>
      <c r="V19" s="20">
        <v>0.02</v>
      </c>
      <c r="W19" s="20">
        <v>0.02</v>
      </c>
      <c r="X19" s="20">
        <v>0.02</v>
      </c>
      <c r="Y19" s="20">
        <v>0.02</v>
      </c>
      <c r="Z19" s="16">
        <f t="shared" si="0"/>
        <v>0.02</v>
      </c>
      <c r="AA19" s="9"/>
      <c r="AB19" s="9"/>
      <c r="AC19" s="9"/>
    </row>
    <row r="20" spans="3:29" x14ac:dyDescent="0.25">
      <c r="C20" s="30" t="s">
        <v>44</v>
      </c>
      <c r="D20" s="31">
        <v>46178</v>
      </c>
      <c r="E20" s="32">
        <f>IF(DAY(D20)-D19&lt;0,DATE(YEAR(D20),MONTH(D20),D19),DATE(YEAR(D20),MONTH(D20)+1,D19))</f>
        <v>46190</v>
      </c>
      <c r="F20" s="9">
        <f>E20-D20</f>
        <v>12</v>
      </c>
      <c r="G20" s="9">
        <v>17</v>
      </c>
      <c r="H20" s="9"/>
      <c r="I20" s="27">
        <f>VLOOKUP(1,D37:E41,2,0)</f>
        <v>50460.666800489576</v>
      </c>
      <c r="J20" s="9" t="s">
        <v>45</v>
      </c>
      <c r="K20" s="9"/>
      <c r="Q20" s="20"/>
      <c r="R20" s="23" t="s">
        <v>46</v>
      </c>
      <c r="S20" s="9" t="s">
        <v>47</v>
      </c>
      <c r="T20" s="9">
        <v>1</v>
      </c>
      <c r="U20" s="20">
        <v>0.02</v>
      </c>
      <c r="V20" s="20">
        <v>0.02</v>
      </c>
      <c r="W20" s="20">
        <v>0.02</v>
      </c>
      <c r="X20" s="20">
        <v>0.02</v>
      </c>
      <c r="Y20" s="20">
        <v>0.02</v>
      </c>
      <c r="Z20" s="16">
        <f t="shared" si="0"/>
        <v>0.02</v>
      </c>
      <c r="AA20" s="9"/>
      <c r="AB20" s="9"/>
      <c r="AC20" s="9"/>
    </row>
    <row r="21" spans="3:29" hidden="1" x14ac:dyDescent="0.25">
      <c r="C21" s="30" t="s">
        <v>48</v>
      </c>
      <c r="D21" s="33">
        <f>DATE(YEAR(D20),MONTH(D20)+1,2)</f>
        <v>46205</v>
      </c>
      <c r="E21" s="34"/>
      <c r="F21" s="9"/>
      <c r="G21" s="9"/>
      <c r="H21" s="9"/>
      <c r="I21" s="27"/>
      <c r="J21" s="9"/>
      <c r="K21" s="9"/>
      <c r="Q21" s="20"/>
      <c r="R21" s="23"/>
      <c r="S21" s="9"/>
      <c r="T21" s="9"/>
      <c r="U21" s="20"/>
      <c r="V21" s="20"/>
      <c r="W21" s="20"/>
      <c r="X21" s="20"/>
      <c r="Y21" s="20"/>
      <c r="Z21" s="16"/>
      <c r="AA21" s="9"/>
      <c r="AB21" s="9"/>
      <c r="AC21" s="9"/>
    </row>
    <row r="22" spans="3:29" hidden="1" x14ac:dyDescent="0.25">
      <c r="C22" s="30" t="s">
        <v>49</v>
      </c>
      <c r="D22" s="35">
        <f>D21-D20</f>
        <v>27</v>
      </c>
      <c r="E22" s="9"/>
      <c r="F22" s="9"/>
      <c r="G22" s="9"/>
      <c r="H22" s="9"/>
      <c r="I22" s="27"/>
      <c r="J22" s="9"/>
      <c r="K22" s="9"/>
      <c r="Q22" s="20"/>
      <c r="R22" s="23"/>
      <c r="S22" s="9"/>
      <c r="T22" s="9"/>
      <c r="U22" s="20"/>
      <c r="V22" s="20"/>
      <c r="W22" s="20"/>
      <c r="X22" s="20"/>
      <c r="Y22" s="20"/>
      <c r="Z22" s="16"/>
      <c r="AA22" s="9"/>
      <c r="AB22" s="9"/>
      <c r="AC22" s="9"/>
    </row>
    <row r="23" spans="3:29" x14ac:dyDescent="0.25">
      <c r="C23" s="36"/>
      <c r="E23" s="9"/>
      <c r="F23" s="9"/>
      <c r="G23" s="9"/>
      <c r="H23" s="9"/>
      <c r="I23" s="27"/>
      <c r="J23" s="9"/>
      <c r="K23" s="9"/>
      <c r="Q23" s="20"/>
      <c r="R23" s="23"/>
      <c r="S23" s="9"/>
      <c r="T23" s="9"/>
      <c r="U23" s="20"/>
      <c r="V23" s="20"/>
      <c r="W23" s="20"/>
      <c r="X23" s="20"/>
      <c r="Y23" s="20"/>
      <c r="Z23" s="16"/>
      <c r="AA23" s="9"/>
      <c r="AB23" s="9"/>
      <c r="AC23" s="9"/>
    </row>
    <row r="24" spans="3:29" x14ac:dyDescent="0.25">
      <c r="C24" s="37" t="s">
        <v>50</v>
      </c>
      <c r="E24" s="9"/>
      <c r="F24" s="9"/>
      <c r="G24" s="9"/>
      <c r="H24" s="9"/>
      <c r="I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3:29" x14ac:dyDescent="0.25">
      <c r="C25" s="36" t="s">
        <v>51</v>
      </c>
      <c r="D25" s="38"/>
      <c r="I25" s="39"/>
      <c r="Q25" s="20"/>
      <c r="R25" s="23"/>
      <c r="S25" s="9"/>
      <c r="T25" s="9"/>
      <c r="U25" s="20"/>
      <c r="V25" s="20"/>
      <c r="W25" s="20"/>
      <c r="X25" s="20"/>
      <c r="Y25" s="20"/>
      <c r="Z25" s="16"/>
      <c r="AA25" s="9"/>
      <c r="AB25" s="9"/>
      <c r="AC25" s="9"/>
    </row>
    <row r="26" spans="3:29" x14ac:dyDescent="0.25">
      <c r="C26" s="36" t="s">
        <v>52</v>
      </c>
      <c r="D26" s="38"/>
      <c r="I26" s="39"/>
      <c r="Q26" s="20"/>
      <c r="R26" s="23"/>
      <c r="S26" s="9"/>
      <c r="T26" s="9"/>
      <c r="U26" s="20"/>
      <c r="V26" s="20"/>
      <c r="W26" s="20"/>
      <c r="X26" s="20"/>
      <c r="Y26" s="20"/>
      <c r="Z26" s="16"/>
      <c r="AA26" s="9"/>
      <c r="AB26" s="9"/>
      <c r="AC26" s="9"/>
    </row>
    <row r="27" spans="3:29" x14ac:dyDescent="0.25">
      <c r="C27" s="36" t="s">
        <v>53</v>
      </c>
      <c r="D27" s="38"/>
      <c r="I27" s="39"/>
      <c r="Q27" s="20"/>
      <c r="R27" s="23"/>
      <c r="S27" s="9"/>
      <c r="T27" s="9"/>
      <c r="U27" s="20"/>
      <c r="V27" s="20"/>
      <c r="W27" s="20"/>
      <c r="X27" s="20"/>
      <c r="Y27" s="20"/>
      <c r="Z27" s="16"/>
      <c r="AA27" s="9"/>
      <c r="AB27" s="9"/>
      <c r="AC27" s="9"/>
    </row>
    <row r="28" spans="3:29" x14ac:dyDescent="0.25">
      <c r="C28" s="36" t="s">
        <v>54</v>
      </c>
      <c r="D28" s="38"/>
      <c r="I28" s="39"/>
      <c r="Q28" s="20"/>
      <c r="R28" s="23"/>
      <c r="S28" s="9"/>
      <c r="T28" s="9"/>
      <c r="U28" s="20"/>
      <c r="V28" s="20"/>
      <c r="W28" s="20"/>
      <c r="X28" s="20"/>
      <c r="Y28" s="20"/>
      <c r="Z28" s="16"/>
      <c r="AA28" s="9"/>
      <c r="AB28" s="9"/>
      <c r="AC28" s="9"/>
    </row>
    <row r="29" spans="3:29" x14ac:dyDescent="0.25">
      <c r="C29" s="36" t="s">
        <v>55</v>
      </c>
      <c r="D29" s="38"/>
      <c r="I29" s="39"/>
      <c r="Q29" s="20"/>
      <c r="R29" s="23"/>
      <c r="S29" s="9"/>
      <c r="T29" s="9"/>
      <c r="U29" s="20"/>
      <c r="V29" s="20"/>
      <c r="W29" s="20"/>
      <c r="X29" s="20"/>
      <c r="Y29" s="20"/>
      <c r="Z29" s="16"/>
      <c r="AA29" s="9"/>
      <c r="AB29" s="9"/>
      <c r="AC29" s="9"/>
    </row>
    <row r="30" spans="3:29" x14ac:dyDescent="0.25">
      <c r="C30" s="36" t="s">
        <v>56</v>
      </c>
      <c r="D30" s="38"/>
      <c r="I30" s="39"/>
      <c r="Q30" s="20"/>
      <c r="R30" s="23"/>
      <c r="S30" s="9"/>
      <c r="T30" s="9"/>
      <c r="U30" s="20"/>
      <c r="V30" s="20"/>
      <c r="W30" s="20"/>
      <c r="X30" s="20"/>
      <c r="Y30" s="20"/>
      <c r="Z30" s="16"/>
      <c r="AA30" s="9"/>
      <c r="AB30" s="9"/>
      <c r="AC30" s="9"/>
    </row>
    <row r="31" spans="3:29" x14ac:dyDescent="0.25">
      <c r="C31" s="40"/>
      <c r="D31" s="38"/>
      <c r="I31" s="39"/>
      <c r="Q31" s="20"/>
      <c r="R31" s="23"/>
      <c r="S31" s="9"/>
      <c r="T31" s="9"/>
      <c r="U31" s="20"/>
      <c r="V31" s="20"/>
      <c r="W31" s="20"/>
      <c r="X31" s="20"/>
      <c r="Y31" s="20"/>
      <c r="Z31" s="16"/>
      <c r="AA31" s="9"/>
      <c r="AB31" s="9"/>
      <c r="AC31" s="9"/>
    </row>
    <row r="32" spans="3:29" s="9" customFormat="1" x14ac:dyDescent="0.25">
      <c r="D32" s="41">
        <f>D9/I18</f>
        <v>0.97105335911900004</v>
      </c>
      <c r="I32" s="42">
        <f>-PMT(D10+D17,D13,I18)+D18</f>
        <v>948.26637622368708</v>
      </c>
      <c r="J32" s="43" t="s">
        <v>57</v>
      </c>
      <c r="Q32" s="20"/>
      <c r="R32" s="9" t="s">
        <v>58</v>
      </c>
      <c r="S32" s="9" t="s">
        <v>59</v>
      </c>
      <c r="T32" s="9">
        <v>2.5</v>
      </c>
      <c r="U32" s="20">
        <v>0.02</v>
      </c>
      <c r="V32" s="20">
        <v>0.02</v>
      </c>
      <c r="W32" s="20">
        <v>0.02</v>
      </c>
      <c r="X32" s="20">
        <v>0.02</v>
      </c>
      <c r="Y32" s="20">
        <v>0.02</v>
      </c>
      <c r="Z32" s="16">
        <f t="shared" si="0"/>
        <v>0.02</v>
      </c>
    </row>
    <row r="33" spans="1:29" s="9" customFormat="1" x14ac:dyDescent="0.25">
      <c r="E33" s="44" t="s">
        <v>76</v>
      </c>
      <c r="F33" s="45">
        <f>SUM(F36:F111)</f>
        <v>49000.000000000007</v>
      </c>
      <c r="G33" s="45">
        <f t="shared" ref="G33:J33" si="1">SUM(G36:G111)</f>
        <v>17521.110218800815</v>
      </c>
      <c r="H33" s="45">
        <f t="shared" si="1"/>
        <v>1538.0688693046582</v>
      </c>
      <c r="I33" s="46">
        <f t="shared" si="1"/>
        <v>216</v>
      </c>
      <c r="J33" s="45">
        <f t="shared" si="1"/>
        <v>68275.179088105404</v>
      </c>
      <c r="Q33" s="20"/>
      <c r="U33" s="20"/>
      <c r="V33" s="20"/>
      <c r="W33" s="20"/>
      <c r="X33" s="20"/>
      <c r="Y33" s="20"/>
      <c r="Z33" s="16"/>
    </row>
    <row r="34" spans="1:29" ht="30" x14ac:dyDescent="0.25">
      <c r="B34" s="47" t="s">
        <v>60</v>
      </c>
      <c r="C34" s="47" t="s">
        <v>61</v>
      </c>
      <c r="D34" s="47" t="s">
        <v>62</v>
      </c>
      <c r="E34" s="47" t="s">
        <v>63</v>
      </c>
      <c r="F34" s="47" t="s">
        <v>64</v>
      </c>
      <c r="G34" s="47" t="s">
        <v>65</v>
      </c>
      <c r="H34" s="47" t="s">
        <v>66</v>
      </c>
      <c r="I34" s="47" t="s">
        <v>67</v>
      </c>
      <c r="J34" s="48" t="s">
        <v>68</v>
      </c>
      <c r="K34" s="9"/>
      <c r="L34" s="9"/>
      <c r="M34" s="9"/>
      <c r="Q34" s="9"/>
      <c r="R34" s="20"/>
      <c r="S34" s="9" t="s">
        <v>69</v>
      </c>
      <c r="T34" s="9" t="s">
        <v>70</v>
      </c>
      <c r="U34" s="9">
        <v>0</v>
      </c>
      <c r="V34" s="20">
        <v>0.02</v>
      </c>
      <c r="W34" s="20">
        <v>1.95E-2</v>
      </c>
      <c r="X34" s="20">
        <v>1.95E-2</v>
      </c>
      <c r="Y34" s="20">
        <v>1.2E-2</v>
      </c>
      <c r="Z34" s="20">
        <v>1.95E-2</v>
      </c>
      <c r="AA34" s="16">
        <f t="shared" si="0"/>
        <v>0.02</v>
      </c>
      <c r="AB34" s="9"/>
      <c r="AC34" s="9"/>
    </row>
    <row r="35" spans="1:29" hidden="1" x14ac:dyDescent="0.25">
      <c r="C35" s="38"/>
      <c r="E35" s="39"/>
      <c r="F35" s="39"/>
      <c r="G35" s="39"/>
      <c r="H35" s="39"/>
      <c r="I35" s="39"/>
      <c r="J35" s="49">
        <f>-D9</f>
        <v>-49000</v>
      </c>
      <c r="K35" s="9"/>
      <c r="L35" s="9"/>
      <c r="M35" s="9"/>
      <c r="Q35" s="9"/>
      <c r="R35" s="20"/>
      <c r="S35" s="9"/>
      <c r="T35" s="9"/>
      <c r="U35" s="9"/>
      <c r="V35" s="20"/>
      <c r="W35" s="20"/>
      <c r="X35" s="20"/>
      <c r="Y35" s="20"/>
      <c r="Z35" s="20"/>
      <c r="AA35" s="16"/>
      <c r="AB35" s="9"/>
      <c r="AC35" s="9"/>
    </row>
    <row r="36" spans="1:29" x14ac:dyDescent="0.25">
      <c r="A36" s="4" t="s">
        <v>71</v>
      </c>
      <c r="B36" s="4" t="s">
        <v>71</v>
      </c>
      <c r="C36" s="38">
        <f>E20</f>
        <v>46190</v>
      </c>
      <c r="D36" s="4">
        <v>0</v>
      </c>
      <c r="E36" s="39">
        <f>D9*(1+D15)</f>
        <v>49000</v>
      </c>
      <c r="F36" s="39">
        <f t="shared" ref="F36" si="2">J36-I36-H36-G36</f>
        <v>-170.0131524065138</v>
      </c>
      <c r="G36" s="39">
        <f>IF(F20&lt;30,E36*(D10/30)*(C36-D20),0)</f>
        <v>156.2931524065138</v>
      </c>
      <c r="H36" s="39">
        <f>IF(F20&lt;30,E36*(D17/30)*(C36-D20),0)</f>
        <v>13.720000000000002</v>
      </c>
      <c r="I36" s="39">
        <f>IF(J36&gt;0,$D$18,0)</f>
        <v>0</v>
      </c>
      <c r="J36" s="39">
        <f>IF(OR(D36=0,D36=""),0,$I$32)</f>
        <v>0</v>
      </c>
      <c r="K36" s="9"/>
      <c r="L36" s="9"/>
      <c r="M36" s="9"/>
      <c r="Q36" s="9"/>
      <c r="R36" s="20"/>
      <c r="S36" s="9"/>
      <c r="T36" s="9"/>
      <c r="U36" s="9"/>
      <c r="V36" s="20"/>
      <c r="W36" s="20"/>
      <c r="X36" s="20"/>
      <c r="Y36" s="20"/>
      <c r="Z36" s="20"/>
      <c r="AA36" s="16"/>
      <c r="AB36" s="9"/>
      <c r="AC36" s="9"/>
    </row>
    <row r="37" spans="1:29" ht="15" customHeight="1" x14ac:dyDescent="0.25">
      <c r="A37" s="4">
        <v>1</v>
      </c>
      <c r="B37" s="4">
        <f>IF(D37="","",A37)</f>
        <v>1</v>
      </c>
      <c r="C37" s="38">
        <f>IF(D37="","",EDATE(C36,1))</f>
        <v>46220</v>
      </c>
      <c r="D37" s="4">
        <f>IF(A37-$D$14&lt;0,0,IF(A37-$D$14&lt;=$D$13,A37-$D$14,""))</f>
        <v>0</v>
      </c>
      <c r="E37" s="39">
        <f t="shared" ref="E37:E60" si="3">IF(D37="","",E36-F36)</f>
        <v>49170.013152406515</v>
      </c>
      <c r="F37" s="39">
        <f t="shared" ref="F37:F60" si="4">IFERROR(J37-I37-H37-G37,"")</f>
        <v>-426.50759897501916</v>
      </c>
      <c r="G37" s="39">
        <f t="shared" ref="G37:G60" si="5">IFERROR(E37*$D$10,"")</f>
        <v>392.0885897683346</v>
      </c>
      <c r="H37" s="39">
        <f>IFERROR(E37*$D$17,"")</f>
        <v>34.419009206684564</v>
      </c>
      <c r="I37" s="39">
        <f>IF(J37="",0,IF(J37&gt;0,$D$18,0))</f>
        <v>0</v>
      </c>
      <c r="J37" s="39">
        <f>IF(OR(D37=0,D37=""),0,$I$32)</f>
        <v>0</v>
      </c>
      <c r="K37" s="9"/>
      <c r="L37" s="50"/>
      <c r="M37" s="50"/>
      <c r="N37" s="50"/>
      <c r="O37" s="50"/>
      <c r="P37" s="50"/>
      <c r="Q37" s="9"/>
      <c r="R37" s="20"/>
      <c r="S37" s="9" t="s">
        <v>72</v>
      </c>
      <c r="T37" s="9" t="s">
        <v>73</v>
      </c>
      <c r="U37" s="9">
        <v>5</v>
      </c>
      <c r="V37" s="20">
        <v>0.02</v>
      </c>
      <c r="W37" s="20">
        <v>1.15E-2</v>
      </c>
      <c r="X37" s="20">
        <v>1.12E-2</v>
      </c>
      <c r="Y37" s="20">
        <v>1.12E-2</v>
      </c>
      <c r="Z37" s="20">
        <v>1.15E-2</v>
      </c>
      <c r="AA37" s="16">
        <f t="shared" si="0"/>
        <v>0.02</v>
      </c>
      <c r="AB37" s="9"/>
      <c r="AC37" s="9"/>
    </row>
    <row r="38" spans="1:29" x14ac:dyDescent="0.25">
      <c r="A38" s="4">
        <v>2</v>
      </c>
      <c r="B38" s="4">
        <f t="shared" ref="B38:B101" si="6">IF(D38="","",A38)</f>
        <v>2</v>
      </c>
      <c r="C38" s="38">
        <f t="shared" ref="C38:C101" si="7">IF(D38="","",EDATE(C37,1))</f>
        <v>46251</v>
      </c>
      <c r="D38" s="4">
        <f t="shared" ref="D38:D101" si="8">IF(A38-$D$14&lt;0,0,IF(A38-$D$14&lt;=$D$13,A38-$D$14,""))</f>
        <v>0</v>
      </c>
      <c r="E38" s="39">
        <f t="shared" ref="E38:E39" si="9">IF(D38="","",E37-F37)</f>
        <v>49596.520751381533</v>
      </c>
      <c r="F38" s="39">
        <f t="shared" ref="F38:F39" si="10">IFERROR(J38-I38-H38-G38,"")</f>
        <v>-430.20718578252308</v>
      </c>
      <c r="G38" s="39">
        <f t="shared" ref="G38:G39" si="11">IFERROR(E38*$D$10,"")</f>
        <v>395.48962125655601</v>
      </c>
      <c r="H38" s="39">
        <f t="shared" ref="H38:H39" si="12">IFERROR(E38*$D$17,"")</f>
        <v>34.717564525967077</v>
      </c>
      <c r="I38" s="39">
        <f t="shared" ref="I38:I39" si="13">IF(J38="",0,IF(J38&gt;0,$D$18,0))</f>
        <v>0</v>
      </c>
      <c r="J38" s="39">
        <f t="shared" ref="J38:J39" si="14">IF(OR(D38=0,D38=""),0,$I$32)</f>
        <v>0</v>
      </c>
      <c r="K38" s="9">
        <v>881.44</v>
      </c>
      <c r="L38" s="50"/>
      <c r="M38" s="50"/>
      <c r="N38" s="50"/>
      <c r="O38" s="50"/>
      <c r="P38" s="50"/>
      <c r="Q38" s="9"/>
      <c r="R38" s="20"/>
      <c r="S38" s="9" t="s">
        <v>74</v>
      </c>
      <c r="T38" s="9" t="s">
        <v>75</v>
      </c>
      <c r="U38" s="9">
        <v>6.5</v>
      </c>
      <c r="V38" s="20">
        <v>1.9699999999999999E-2</v>
      </c>
      <c r="W38" s="20">
        <v>1.15E-2</v>
      </c>
      <c r="X38" s="20">
        <v>1.12E-2</v>
      </c>
      <c r="Y38" s="20">
        <v>1.12E-2</v>
      </c>
      <c r="Z38" s="20">
        <v>1.15E-2</v>
      </c>
      <c r="AA38" s="16">
        <f t="shared" si="0"/>
        <v>1.9699999999999999E-2</v>
      </c>
      <c r="AB38" s="9"/>
      <c r="AC38" s="9"/>
    </row>
    <row r="39" spans="1:29" x14ac:dyDescent="0.25">
      <c r="A39" s="4">
        <v>3</v>
      </c>
      <c r="B39" s="4">
        <f t="shared" si="6"/>
        <v>3</v>
      </c>
      <c r="C39" s="38">
        <f t="shared" si="7"/>
        <v>46282</v>
      </c>
      <c r="D39" s="4">
        <f t="shared" si="8"/>
        <v>0</v>
      </c>
      <c r="E39" s="39">
        <f t="shared" si="9"/>
        <v>50026.727937164054</v>
      </c>
      <c r="F39" s="39">
        <f t="shared" si="10"/>
        <v>-433.93886332552415</v>
      </c>
      <c r="G39" s="39">
        <f t="shared" si="11"/>
        <v>398.92015376950928</v>
      </c>
      <c r="H39" s="39">
        <f t="shared" si="12"/>
        <v>35.018709556014841</v>
      </c>
      <c r="I39" s="39">
        <f t="shared" si="13"/>
        <v>0</v>
      </c>
      <c r="J39" s="39">
        <f t="shared" si="14"/>
        <v>0</v>
      </c>
      <c r="K39" s="9"/>
      <c r="L39" s="50"/>
      <c r="M39" s="50"/>
      <c r="N39" s="50"/>
      <c r="O39" s="50"/>
      <c r="P39" s="50"/>
      <c r="Q39" s="9"/>
      <c r="R39" s="20"/>
      <c r="S39" s="9"/>
      <c r="T39" s="9"/>
      <c r="U39" s="9"/>
      <c r="V39" s="20"/>
      <c r="W39" s="20"/>
      <c r="X39" s="20"/>
      <c r="Y39" s="20"/>
      <c r="Z39" s="20"/>
      <c r="AA39" s="16"/>
      <c r="AB39" s="29"/>
      <c r="AC39" s="9"/>
    </row>
    <row r="40" spans="1:29" x14ac:dyDescent="0.25">
      <c r="A40" s="4">
        <v>4</v>
      </c>
      <c r="B40" s="4">
        <f t="shared" si="6"/>
        <v>4</v>
      </c>
      <c r="C40" s="38">
        <f t="shared" si="7"/>
        <v>46312</v>
      </c>
      <c r="D40" s="4">
        <f t="shared" si="8"/>
        <v>1</v>
      </c>
      <c r="E40" s="39">
        <f t="shared" si="3"/>
        <v>50460.666800489576</v>
      </c>
      <c r="F40" s="39">
        <f t="shared" si="4"/>
        <v>507.56346626011856</v>
      </c>
      <c r="G40" s="39">
        <f t="shared" si="5"/>
        <v>402.38044320322587</v>
      </c>
      <c r="H40" s="39">
        <f t="shared" ref="H40:H61" si="15">IFERROR(E40*$D$17,"")</f>
        <v>35.322466760342706</v>
      </c>
      <c r="I40" s="39">
        <f t="shared" ref="I40:I61" si="16">IF(J40="","",IF(J40&gt;0,$D$18,""))</f>
        <v>3</v>
      </c>
      <c r="J40" s="39">
        <f t="shared" ref="J40:J61" si="17">IF(OR(D40=0,D40=""),"",$I$32)</f>
        <v>948.26637622368708</v>
      </c>
      <c r="K40" s="9"/>
      <c r="L40" s="50"/>
      <c r="M40" s="50"/>
      <c r="N40" s="50"/>
      <c r="O40" s="50"/>
      <c r="P40" s="50"/>
      <c r="Q40" s="9"/>
      <c r="R40" s="20"/>
      <c r="S40" s="9"/>
      <c r="T40" s="9"/>
      <c r="U40" s="9"/>
      <c r="V40" s="20"/>
      <c r="W40" s="20"/>
      <c r="X40" s="20"/>
      <c r="Y40" s="20"/>
      <c r="Z40" s="20"/>
      <c r="AA40" s="16"/>
      <c r="AB40" s="9"/>
      <c r="AC40" s="9"/>
    </row>
    <row r="41" spans="1:29" x14ac:dyDescent="0.25">
      <c r="A41" s="4">
        <v>5</v>
      </c>
      <c r="B41" s="4">
        <f t="shared" si="6"/>
        <v>5</v>
      </c>
      <c r="C41" s="38">
        <f t="shared" si="7"/>
        <v>46343</v>
      </c>
      <c r="D41" s="4">
        <f t="shared" si="8"/>
        <v>2</v>
      </c>
      <c r="E41" s="39">
        <f t="shared" si="3"/>
        <v>49953.103334229461</v>
      </c>
      <c r="F41" s="39">
        <f t="shared" si="4"/>
        <v>511.96614304303984</v>
      </c>
      <c r="G41" s="39">
        <f t="shared" si="5"/>
        <v>398.33306084668658</v>
      </c>
      <c r="H41" s="39">
        <f t="shared" si="15"/>
        <v>34.967172333960626</v>
      </c>
      <c r="I41" s="39">
        <f t="shared" si="16"/>
        <v>3</v>
      </c>
      <c r="J41" s="39">
        <f t="shared" si="17"/>
        <v>948.26637622368708</v>
      </c>
      <c r="K41" s="9"/>
      <c r="L41" s="50"/>
      <c r="M41" s="50"/>
      <c r="N41" s="50"/>
      <c r="O41" s="50"/>
      <c r="P41" s="50"/>
      <c r="Q41" s="9"/>
      <c r="R41" s="20"/>
      <c r="S41" s="9"/>
      <c r="T41" s="9"/>
      <c r="U41" s="9"/>
      <c r="V41" s="20"/>
      <c r="W41" s="20"/>
      <c r="X41" s="20"/>
      <c r="Y41" s="20"/>
      <c r="Z41" s="20"/>
      <c r="AA41" s="16"/>
      <c r="AB41" s="9"/>
      <c r="AC41" s="9"/>
    </row>
    <row r="42" spans="1:29" x14ac:dyDescent="0.25">
      <c r="A42" s="4">
        <v>6</v>
      </c>
      <c r="B42" s="4">
        <f t="shared" si="6"/>
        <v>6</v>
      </c>
      <c r="C42" s="38">
        <f t="shared" si="7"/>
        <v>46373</v>
      </c>
      <c r="D42" s="4">
        <f t="shared" si="8"/>
        <v>3</v>
      </c>
      <c r="E42" s="39">
        <f t="shared" si="3"/>
        <v>49441.137191186419</v>
      </c>
      <c r="F42" s="39">
        <f t="shared" si="4"/>
        <v>516.40700926263958</v>
      </c>
      <c r="G42" s="39">
        <f t="shared" si="5"/>
        <v>394.2505709272171</v>
      </c>
      <c r="H42" s="39">
        <f t="shared" si="15"/>
        <v>34.608796033830501</v>
      </c>
      <c r="I42" s="39">
        <f t="shared" si="16"/>
        <v>3</v>
      </c>
      <c r="J42" s="39">
        <f t="shared" si="17"/>
        <v>948.26637622368708</v>
      </c>
      <c r="L42" s="50"/>
      <c r="M42" s="50"/>
      <c r="N42" s="50"/>
      <c r="O42" s="50"/>
      <c r="P42" s="50"/>
      <c r="Q42" s="9"/>
      <c r="R42" s="9"/>
      <c r="S42" s="9"/>
      <c r="T42" s="9"/>
      <c r="U42" s="9"/>
      <c r="V42" s="20"/>
      <c r="W42" s="20"/>
      <c r="X42" s="20"/>
      <c r="Y42" s="20"/>
      <c r="Z42" s="20"/>
      <c r="AA42" s="16"/>
      <c r="AB42" s="9"/>
      <c r="AC42" s="9"/>
    </row>
    <row r="43" spans="1:29" x14ac:dyDescent="0.25">
      <c r="A43" s="4">
        <v>7</v>
      </c>
      <c r="B43" s="4">
        <f t="shared" si="6"/>
        <v>7</v>
      </c>
      <c r="C43" s="38">
        <f t="shared" si="7"/>
        <v>46404</v>
      </c>
      <c r="D43" s="4">
        <f t="shared" si="8"/>
        <v>4</v>
      </c>
      <c r="E43" s="39">
        <f t="shared" si="3"/>
        <v>48924.730181923776</v>
      </c>
      <c r="F43" s="39">
        <f t="shared" si="4"/>
        <v>520.88639617945387</v>
      </c>
      <c r="G43" s="39">
        <f t="shared" si="5"/>
        <v>390.13266891688659</v>
      </c>
      <c r="H43" s="39">
        <f t="shared" si="15"/>
        <v>34.247311127346649</v>
      </c>
      <c r="I43" s="39">
        <f t="shared" si="16"/>
        <v>3</v>
      </c>
      <c r="J43" s="39">
        <f t="shared" si="17"/>
        <v>948.26637622368708</v>
      </c>
      <c r="L43" s="50"/>
      <c r="M43" s="50"/>
      <c r="N43" s="50"/>
      <c r="O43" s="50"/>
      <c r="P43" s="50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x14ac:dyDescent="0.25">
      <c r="A44" s="4">
        <v>8</v>
      </c>
      <c r="B44" s="4">
        <f t="shared" si="6"/>
        <v>8</v>
      </c>
      <c r="C44" s="38">
        <f t="shared" si="7"/>
        <v>46435</v>
      </c>
      <c r="D44" s="4">
        <f t="shared" si="8"/>
        <v>5</v>
      </c>
      <c r="E44" s="39">
        <f t="shared" si="3"/>
        <v>48403.84378574432</v>
      </c>
      <c r="F44" s="39">
        <f t="shared" si="4"/>
        <v>525.40463792742003</v>
      </c>
      <c r="G44" s="39">
        <f t="shared" si="5"/>
        <v>385.97904764624604</v>
      </c>
      <c r="H44" s="39">
        <f t="shared" si="15"/>
        <v>33.882690650021033</v>
      </c>
      <c r="I44" s="39">
        <f t="shared" si="16"/>
        <v>3</v>
      </c>
      <c r="J44" s="39">
        <f t="shared" si="17"/>
        <v>948.26637622368708</v>
      </c>
      <c r="L44" s="51"/>
      <c r="M44" s="51"/>
      <c r="N44" s="51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x14ac:dyDescent="0.25">
      <c r="A45" s="4">
        <v>9</v>
      </c>
      <c r="B45" s="4">
        <f t="shared" si="6"/>
        <v>9</v>
      </c>
      <c r="C45" s="38">
        <f t="shared" si="7"/>
        <v>46463</v>
      </c>
      <c r="D45" s="4">
        <f t="shared" si="8"/>
        <v>6</v>
      </c>
      <c r="E45" s="39">
        <f t="shared" si="3"/>
        <v>47878.439147816898</v>
      </c>
      <c r="F45" s="39">
        <f t="shared" si="4"/>
        <v>529.96207153879982</v>
      </c>
      <c r="G45" s="39">
        <f t="shared" si="5"/>
        <v>381.7893972814154</v>
      </c>
      <c r="H45" s="39">
        <f t="shared" si="15"/>
        <v>33.514907403471831</v>
      </c>
      <c r="I45" s="39">
        <f t="shared" si="16"/>
        <v>3</v>
      </c>
      <c r="J45" s="39">
        <f t="shared" si="17"/>
        <v>948.26637622368708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25">
      <c r="A46" s="4">
        <v>10</v>
      </c>
      <c r="B46" s="4">
        <f t="shared" si="6"/>
        <v>10</v>
      </c>
      <c r="C46" s="38">
        <f t="shared" si="7"/>
        <v>46494</v>
      </c>
      <c r="D46" s="4">
        <f t="shared" si="8"/>
        <v>7</v>
      </c>
      <c r="E46" s="39">
        <f t="shared" si="3"/>
        <v>47348.477076278097</v>
      </c>
      <c r="F46" s="39">
        <f t="shared" si="4"/>
        <v>534.55903696932012</v>
      </c>
      <c r="G46" s="39">
        <f t="shared" si="5"/>
        <v>377.56340530097225</v>
      </c>
      <c r="H46" s="39">
        <f t="shared" si="15"/>
        <v>33.143933953394672</v>
      </c>
      <c r="I46" s="39">
        <f t="shared" si="16"/>
        <v>3</v>
      </c>
      <c r="J46" s="39">
        <f t="shared" si="17"/>
        <v>948.26637622368708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25">
      <c r="A47" s="4">
        <v>11</v>
      </c>
      <c r="B47" s="4">
        <f t="shared" si="6"/>
        <v>11</v>
      </c>
      <c r="C47" s="38">
        <f t="shared" si="7"/>
        <v>46524</v>
      </c>
      <c r="D47" s="4">
        <f t="shared" si="8"/>
        <v>8</v>
      </c>
      <c r="E47" s="39">
        <f t="shared" si="3"/>
        <v>46813.918039308774</v>
      </c>
      <c r="F47" s="39">
        <f t="shared" si="4"/>
        <v>539.19587712353155</v>
      </c>
      <c r="G47" s="39">
        <f t="shared" si="5"/>
        <v>373.30075647263931</v>
      </c>
      <c r="H47" s="39">
        <f t="shared" si="15"/>
        <v>32.769742627516145</v>
      </c>
      <c r="I47" s="39">
        <f t="shared" si="16"/>
        <v>3</v>
      </c>
      <c r="J47" s="39">
        <f t="shared" si="17"/>
        <v>948.26637622368708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25">
      <c r="A48" s="4">
        <v>12</v>
      </c>
      <c r="B48" s="4">
        <f t="shared" si="6"/>
        <v>12</v>
      </c>
      <c r="C48" s="38">
        <f t="shared" si="7"/>
        <v>46555</v>
      </c>
      <c r="D48" s="4">
        <f t="shared" si="8"/>
        <v>9</v>
      </c>
      <c r="E48" s="39">
        <f t="shared" si="3"/>
        <v>46274.722162185244</v>
      </c>
      <c r="F48" s="39">
        <f t="shared" si="4"/>
        <v>543.8729378803871</v>
      </c>
      <c r="G48" s="39">
        <f t="shared" si="5"/>
        <v>369.00113282977037</v>
      </c>
      <c r="H48" s="39">
        <f t="shared" si="15"/>
        <v>32.392305513529678</v>
      </c>
      <c r="I48" s="39">
        <f t="shared" si="16"/>
        <v>3</v>
      </c>
      <c r="J48" s="39">
        <f t="shared" si="17"/>
        <v>948.26637622368708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x14ac:dyDescent="0.25">
      <c r="A49" s="4">
        <v>13</v>
      </c>
      <c r="B49" s="4">
        <f t="shared" si="6"/>
        <v>13</v>
      </c>
      <c r="C49" s="38">
        <f t="shared" si="7"/>
        <v>46585</v>
      </c>
      <c r="D49" s="4">
        <f t="shared" si="8"/>
        <v>10</v>
      </c>
      <c r="E49" s="39">
        <f t="shared" si="3"/>
        <v>45730.84922430486</v>
      </c>
      <c r="F49" s="39">
        <f t="shared" si="4"/>
        <v>548.5905681190419</v>
      </c>
      <c r="G49" s="39">
        <f t="shared" si="5"/>
        <v>364.66421364763175</v>
      </c>
      <c r="H49" s="39">
        <f t="shared" si="15"/>
        <v>32.011594457013409</v>
      </c>
      <c r="I49" s="39">
        <f t="shared" si="16"/>
        <v>3</v>
      </c>
      <c r="J49" s="39">
        <f t="shared" si="17"/>
        <v>948.26637622368708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x14ac:dyDescent="0.25">
      <c r="A50" s="4">
        <v>14</v>
      </c>
      <c r="B50" s="4">
        <f t="shared" si="6"/>
        <v>14</v>
      </c>
      <c r="C50" s="38">
        <f t="shared" si="7"/>
        <v>46616</v>
      </c>
      <c r="D50" s="4">
        <f t="shared" si="8"/>
        <v>11</v>
      </c>
      <c r="E50" s="39">
        <f t="shared" si="3"/>
        <v>45182.258656185819</v>
      </c>
      <c r="F50" s="39">
        <f t="shared" si="4"/>
        <v>553.34911974487864</v>
      </c>
      <c r="G50" s="39">
        <f t="shared" si="5"/>
        <v>360.28967541947839</v>
      </c>
      <c r="H50" s="39">
        <f t="shared" si="15"/>
        <v>31.627581059330076</v>
      </c>
      <c r="I50" s="39">
        <f t="shared" si="16"/>
        <v>3</v>
      </c>
      <c r="J50" s="39">
        <f t="shared" si="17"/>
        <v>948.26637622368708</v>
      </c>
      <c r="Q50" s="9"/>
      <c r="R50" s="9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3"/>
    </row>
    <row r="51" spans="1:29" x14ac:dyDescent="0.25">
      <c r="A51" s="4">
        <v>15</v>
      </c>
      <c r="B51" s="4">
        <f t="shared" si="6"/>
        <v>15</v>
      </c>
      <c r="C51" s="38">
        <f t="shared" si="7"/>
        <v>46647</v>
      </c>
      <c r="D51" s="4">
        <f t="shared" si="8"/>
        <v>12</v>
      </c>
      <c r="E51" s="39">
        <f t="shared" si="3"/>
        <v>44628.909536440937</v>
      </c>
      <c r="F51" s="39">
        <f t="shared" si="4"/>
        <v>558.14894771575598</v>
      </c>
      <c r="G51" s="39">
        <f t="shared" si="5"/>
        <v>355.87719183242245</v>
      </c>
      <c r="H51" s="39">
        <f t="shared" si="15"/>
        <v>31.240236675508662</v>
      </c>
      <c r="I51" s="39">
        <f t="shared" si="16"/>
        <v>3</v>
      </c>
      <c r="J51" s="39">
        <f t="shared" si="17"/>
        <v>948.26637622368708</v>
      </c>
      <c r="Q51" s="9"/>
      <c r="R51" s="9"/>
      <c r="S51" s="52"/>
      <c r="T51" s="52"/>
      <c r="U51" s="52"/>
      <c r="V51" s="9"/>
      <c r="W51" s="52"/>
      <c r="X51" s="52"/>
      <c r="Y51" s="52"/>
      <c r="Z51" s="52"/>
      <c r="AA51" s="52"/>
      <c r="AB51" s="53"/>
      <c r="AC51" s="53"/>
    </row>
    <row r="52" spans="1:29" x14ac:dyDescent="0.25">
      <c r="A52" s="4">
        <v>16</v>
      </c>
      <c r="B52" s="4">
        <f t="shared" si="6"/>
        <v>16</v>
      </c>
      <c r="C52" s="38">
        <f t="shared" si="7"/>
        <v>46677</v>
      </c>
      <c r="D52" s="4">
        <f t="shared" si="8"/>
        <v>13</v>
      </c>
      <c r="E52" s="39">
        <f t="shared" si="3"/>
        <v>44070.760588725178</v>
      </c>
      <c r="F52" s="39">
        <f t="shared" si="4"/>
        <v>562.99041006848734</v>
      </c>
      <c r="G52" s="39">
        <f t="shared" si="5"/>
        <v>351.4264337430921</v>
      </c>
      <c r="H52" s="39">
        <f t="shared" si="15"/>
        <v>30.849532412107628</v>
      </c>
      <c r="I52" s="39">
        <f t="shared" si="16"/>
        <v>3</v>
      </c>
      <c r="J52" s="39">
        <f t="shared" si="17"/>
        <v>948.26637622368708</v>
      </c>
      <c r="Q52" s="9"/>
      <c r="R52" s="9"/>
      <c r="S52" s="52"/>
      <c r="T52" s="52"/>
      <c r="U52" s="52"/>
      <c r="V52" s="9"/>
      <c r="W52" s="52"/>
      <c r="X52" s="52"/>
      <c r="Y52" s="52"/>
      <c r="Z52" s="52"/>
      <c r="AA52" s="52"/>
      <c r="AB52" s="53"/>
      <c r="AC52" s="53"/>
    </row>
    <row r="53" spans="1:29" x14ac:dyDescent="0.25">
      <c r="A53" s="4">
        <v>17</v>
      </c>
      <c r="B53" s="4">
        <f t="shared" si="6"/>
        <v>17</v>
      </c>
      <c r="C53" s="38">
        <f t="shared" si="7"/>
        <v>46708</v>
      </c>
      <c r="D53" s="4">
        <f t="shared" si="8"/>
        <v>14</v>
      </c>
      <c r="E53" s="39">
        <f t="shared" si="3"/>
        <v>43507.77017865669</v>
      </c>
      <c r="F53" s="39">
        <f t="shared" si="4"/>
        <v>567.87386794554754</v>
      </c>
      <c r="G53" s="39">
        <f t="shared" si="5"/>
        <v>346.93706915307985</v>
      </c>
      <c r="H53" s="39">
        <f t="shared" si="15"/>
        <v>30.455439125059687</v>
      </c>
      <c r="I53" s="39">
        <f t="shared" si="16"/>
        <v>3</v>
      </c>
      <c r="J53" s="39">
        <f t="shared" si="17"/>
        <v>948.26637622368708</v>
      </c>
      <c r="L53" s="54"/>
      <c r="Q53" s="9"/>
      <c r="R53" s="9"/>
      <c r="S53" s="52"/>
      <c r="T53" s="52"/>
      <c r="U53" s="52"/>
      <c r="V53" s="9"/>
      <c r="W53" s="52"/>
      <c r="X53" s="52"/>
      <c r="Y53" s="52"/>
      <c r="Z53" s="52"/>
      <c r="AA53" s="52"/>
      <c r="AB53" s="53"/>
      <c r="AC53" s="53"/>
    </row>
    <row r="54" spans="1:29" x14ac:dyDescent="0.25">
      <c r="A54" s="4">
        <v>18</v>
      </c>
      <c r="B54" s="4">
        <f t="shared" si="6"/>
        <v>18</v>
      </c>
      <c r="C54" s="38">
        <f t="shared" si="7"/>
        <v>46738</v>
      </c>
      <c r="D54" s="4">
        <f t="shared" si="8"/>
        <v>15</v>
      </c>
      <c r="E54" s="39">
        <f t="shared" si="3"/>
        <v>42939.896310711141</v>
      </c>
      <c r="F54" s="39">
        <f t="shared" si="4"/>
        <v>572.79968562201202</v>
      </c>
      <c r="G54" s="39">
        <f t="shared" si="5"/>
        <v>342.4087631841773</v>
      </c>
      <c r="H54" s="39">
        <f t="shared" si="15"/>
        <v>30.057927417497805</v>
      </c>
      <c r="I54" s="39">
        <f t="shared" si="16"/>
        <v>3</v>
      </c>
      <c r="J54" s="39">
        <f t="shared" si="17"/>
        <v>948.26637622368708</v>
      </c>
      <c r="L54" s="54"/>
      <c r="Q54" s="9"/>
      <c r="R54" s="9"/>
      <c r="S54" s="52"/>
      <c r="T54" s="52"/>
      <c r="U54" s="52"/>
      <c r="V54" s="9"/>
      <c r="W54" s="52"/>
      <c r="X54" s="52"/>
      <c r="Y54" s="52"/>
      <c r="Z54" s="52"/>
      <c r="AA54" s="52"/>
      <c r="AB54" s="53"/>
      <c r="AC54" s="53"/>
    </row>
    <row r="55" spans="1:29" x14ac:dyDescent="0.25">
      <c r="A55" s="4">
        <v>19</v>
      </c>
      <c r="B55" s="4">
        <f t="shared" si="6"/>
        <v>19</v>
      </c>
      <c r="C55" s="38">
        <f t="shared" si="7"/>
        <v>46769</v>
      </c>
      <c r="D55" s="4">
        <f t="shared" si="8"/>
        <v>16</v>
      </c>
      <c r="E55" s="39">
        <f t="shared" si="3"/>
        <v>42367.096625089129</v>
      </c>
      <c r="F55" s="39">
        <f t="shared" si="4"/>
        <v>577.76823053272926</v>
      </c>
      <c r="G55" s="39">
        <f t="shared" si="5"/>
        <v>337.84117805339542</v>
      </c>
      <c r="H55" s="39">
        <f t="shared" si="15"/>
        <v>29.656967637562396</v>
      </c>
      <c r="I55" s="39">
        <f t="shared" si="16"/>
        <v>3</v>
      </c>
      <c r="J55" s="39">
        <f t="shared" si="17"/>
        <v>948.26637622368708</v>
      </c>
      <c r="L55" s="54"/>
      <c r="Q55" s="9"/>
      <c r="R55" s="9"/>
      <c r="S55" s="52"/>
      <c r="T55" s="52"/>
      <c r="U55" s="52"/>
      <c r="V55" s="9"/>
      <c r="W55" s="52"/>
      <c r="X55" s="52"/>
      <c r="Y55" s="52"/>
      <c r="Z55" s="52"/>
      <c r="AA55" s="52"/>
      <c r="AB55" s="53"/>
      <c r="AC55" s="53"/>
    </row>
    <row r="56" spans="1:29" x14ac:dyDescent="0.25">
      <c r="A56" s="4">
        <v>20</v>
      </c>
      <c r="B56" s="4">
        <f t="shared" si="6"/>
        <v>20</v>
      </c>
      <c r="C56" s="38">
        <f t="shared" si="7"/>
        <v>46800</v>
      </c>
      <c r="D56" s="4">
        <f t="shared" si="8"/>
        <v>17</v>
      </c>
      <c r="E56" s="39">
        <f t="shared" si="3"/>
        <v>41789.328394556396</v>
      </c>
      <c r="F56" s="39">
        <f t="shared" si="4"/>
        <v>582.77987329972939</v>
      </c>
      <c r="G56" s="39">
        <f t="shared" si="5"/>
        <v>333.23397304776819</v>
      </c>
      <c r="H56" s="39">
        <f t="shared" si="15"/>
        <v>29.252529876189481</v>
      </c>
      <c r="I56" s="39">
        <f t="shared" si="16"/>
        <v>3</v>
      </c>
      <c r="J56" s="39">
        <f t="shared" si="17"/>
        <v>948.26637622368708</v>
      </c>
      <c r="L56" s="54"/>
      <c r="Q56" s="9"/>
      <c r="R56" s="9"/>
      <c r="S56" s="52"/>
      <c r="T56" s="52"/>
      <c r="U56" s="52"/>
      <c r="V56" s="9"/>
      <c r="W56" s="52"/>
      <c r="X56" s="52"/>
      <c r="Y56" s="52"/>
      <c r="Z56" s="52"/>
      <c r="AA56" s="52"/>
      <c r="AB56" s="53"/>
      <c r="AC56" s="53"/>
    </row>
    <row r="57" spans="1:29" x14ac:dyDescent="0.25">
      <c r="A57" s="4">
        <v>21</v>
      </c>
      <c r="B57" s="4">
        <f t="shared" si="6"/>
        <v>21</v>
      </c>
      <c r="C57" s="38">
        <f t="shared" si="7"/>
        <v>46829</v>
      </c>
      <c r="D57" s="4">
        <f t="shared" si="8"/>
        <v>18</v>
      </c>
      <c r="E57" s="39">
        <f t="shared" si="3"/>
        <v>41206.548521256664</v>
      </c>
      <c r="F57" s="39">
        <f t="shared" si="4"/>
        <v>587.83498775987005</v>
      </c>
      <c r="G57" s="39">
        <f t="shared" si="5"/>
        <v>328.5868044989374</v>
      </c>
      <c r="H57" s="39">
        <f t="shared" si="15"/>
        <v>28.844583964879668</v>
      </c>
      <c r="I57" s="39">
        <f t="shared" si="16"/>
        <v>3</v>
      </c>
      <c r="J57" s="39">
        <f t="shared" si="17"/>
        <v>948.26637622368708</v>
      </c>
      <c r="L57" s="54"/>
      <c r="Q57" s="9"/>
      <c r="R57" s="9"/>
      <c r="S57" s="52"/>
      <c r="T57" s="52"/>
      <c r="U57" s="52"/>
      <c r="V57" s="9"/>
      <c r="W57" s="52"/>
      <c r="X57" s="52"/>
      <c r="Y57" s="52"/>
      <c r="Z57" s="52"/>
      <c r="AA57" s="52"/>
      <c r="AB57" s="53"/>
      <c r="AC57" s="53"/>
    </row>
    <row r="58" spans="1:29" x14ac:dyDescent="0.25">
      <c r="A58" s="4">
        <v>22</v>
      </c>
      <c r="B58" s="4">
        <f t="shared" si="6"/>
        <v>22</v>
      </c>
      <c r="C58" s="38">
        <f t="shared" si="7"/>
        <v>46860</v>
      </c>
      <c r="D58" s="4">
        <f t="shared" si="8"/>
        <v>19</v>
      </c>
      <c r="E58" s="39">
        <f t="shared" si="3"/>
        <v>40618.713533496797</v>
      </c>
      <c r="F58" s="39">
        <f t="shared" si="4"/>
        <v>592.93395099272198</v>
      </c>
      <c r="G58" s="39">
        <f t="shared" si="5"/>
        <v>323.89932575751726</v>
      </c>
      <c r="H58" s="39">
        <f t="shared" si="15"/>
        <v>28.433099473447761</v>
      </c>
      <c r="I58" s="39">
        <f t="shared" si="16"/>
        <v>3</v>
      </c>
      <c r="J58" s="39">
        <f t="shared" si="17"/>
        <v>948.26637622368708</v>
      </c>
      <c r="L58" s="54"/>
      <c r="Q58" s="9"/>
      <c r="R58" s="9"/>
      <c r="S58" s="52"/>
      <c r="T58" s="52"/>
      <c r="U58" s="52"/>
      <c r="V58" s="9"/>
      <c r="W58" s="52"/>
      <c r="X58" s="52"/>
      <c r="Y58" s="52"/>
      <c r="Z58" s="52"/>
      <c r="AA58" s="52"/>
      <c r="AB58" s="53"/>
      <c r="AC58" s="53"/>
    </row>
    <row r="59" spans="1:29" x14ac:dyDescent="0.25">
      <c r="A59" s="4">
        <v>23</v>
      </c>
      <c r="B59" s="4">
        <f t="shared" si="6"/>
        <v>23</v>
      </c>
      <c r="C59" s="38">
        <f t="shared" si="7"/>
        <v>46890</v>
      </c>
      <c r="D59" s="4">
        <f t="shared" si="8"/>
        <v>20</v>
      </c>
      <c r="E59" s="39">
        <f t="shared" si="3"/>
        <v>40025.779582504074</v>
      </c>
      <c r="F59" s="39">
        <f t="shared" si="4"/>
        <v>598.07714334869763</v>
      </c>
      <c r="G59" s="39">
        <f t="shared" si="5"/>
        <v>319.17118716723655</v>
      </c>
      <c r="H59" s="39">
        <f t="shared" si="15"/>
        <v>28.018045707752854</v>
      </c>
      <c r="I59" s="39">
        <f t="shared" si="16"/>
        <v>3</v>
      </c>
      <c r="J59" s="39">
        <f t="shared" si="17"/>
        <v>948.26637622368708</v>
      </c>
      <c r="L59" s="54"/>
      <c r="Q59" s="9"/>
      <c r="R59" s="9"/>
      <c r="S59" s="52"/>
      <c r="T59" s="52"/>
      <c r="U59" s="52"/>
      <c r="V59" s="9"/>
      <c r="W59" s="52"/>
      <c r="X59" s="52"/>
      <c r="Y59" s="52"/>
      <c r="Z59" s="52"/>
      <c r="AA59" s="52"/>
      <c r="AB59" s="53"/>
      <c r="AC59" s="53"/>
    </row>
    <row r="60" spans="1:29" x14ac:dyDescent="0.25">
      <c r="A60" s="4">
        <v>24</v>
      </c>
      <c r="B60" s="4">
        <f t="shared" si="6"/>
        <v>24</v>
      </c>
      <c r="C60" s="38">
        <f t="shared" si="7"/>
        <v>46921</v>
      </c>
      <c r="D60" s="4">
        <f t="shared" si="8"/>
        <v>21</v>
      </c>
      <c r="E60" s="39">
        <f t="shared" si="3"/>
        <v>39427.702439155379</v>
      </c>
      <c r="F60" s="39">
        <f t="shared" si="4"/>
        <v>603.26494847742174</v>
      </c>
      <c r="G60" s="39">
        <f t="shared" si="5"/>
        <v>314.40203603885647</v>
      </c>
      <c r="H60" s="39">
        <f t="shared" si="15"/>
        <v>27.59939170740877</v>
      </c>
      <c r="I60" s="39">
        <f t="shared" si="16"/>
        <v>3</v>
      </c>
      <c r="J60" s="39">
        <f t="shared" si="17"/>
        <v>948.26637622368708</v>
      </c>
      <c r="L60" s="54"/>
      <c r="Q60" s="9"/>
      <c r="R60" s="9"/>
      <c r="S60" s="52"/>
      <c r="T60" s="52"/>
      <c r="U60" s="52"/>
      <c r="V60" s="9"/>
      <c r="W60" s="52"/>
      <c r="X60" s="52"/>
      <c r="Y60" s="52"/>
      <c r="Z60" s="52"/>
      <c r="AA60" s="52"/>
      <c r="AB60" s="53"/>
      <c r="AC60" s="53"/>
    </row>
    <row r="61" spans="1:29" x14ac:dyDescent="0.25">
      <c r="A61" s="4">
        <v>25</v>
      </c>
      <c r="B61" s="4">
        <f t="shared" si="6"/>
        <v>25</v>
      </c>
      <c r="C61" s="38">
        <f t="shared" si="7"/>
        <v>46951</v>
      </c>
      <c r="D61" s="4">
        <f t="shared" si="8"/>
        <v>22</v>
      </c>
      <c r="E61" s="39">
        <f>IF(D61="","",E60-F60)</f>
        <v>38824.437490677956</v>
      </c>
      <c r="F61" s="39">
        <f>IFERROR(J61-I61-H61-G61,"")</f>
        <v>608.49775335635036</v>
      </c>
      <c r="G61" s="39">
        <f>IFERROR(E61*$D$10,"")</f>
        <v>309.59151662386211</v>
      </c>
      <c r="H61" s="39">
        <f t="shared" si="15"/>
        <v>27.177106243474572</v>
      </c>
      <c r="I61" s="39">
        <f t="shared" si="16"/>
        <v>3</v>
      </c>
      <c r="J61" s="39">
        <f t="shared" si="17"/>
        <v>948.26637622368708</v>
      </c>
      <c r="L61" s="54"/>
      <c r="Q61" s="9"/>
      <c r="R61" s="9"/>
      <c r="S61" s="52"/>
      <c r="T61" s="52"/>
      <c r="U61" s="52"/>
      <c r="V61" s="9"/>
      <c r="W61" s="52"/>
      <c r="X61" s="52"/>
      <c r="Y61" s="52"/>
      <c r="Z61" s="52"/>
      <c r="AA61" s="52"/>
      <c r="AB61" s="53"/>
      <c r="AC61" s="53"/>
    </row>
    <row r="62" spans="1:29" x14ac:dyDescent="0.25">
      <c r="A62" s="4">
        <v>26</v>
      </c>
      <c r="B62" s="4">
        <f t="shared" si="6"/>
        <v>26</v>
      </c>
      <c r="C62" s="38">
        <f t="shared" si="7"/>
        <v>46982</v>
      </c>
      <c r="D62" s="4">
        <f t="shared" si="8"/>
        <v>23</v>
      </c>
      <c r="E62" s="39">
        <f t="shared" ref="E62:E111" si="18">IF(D62="","",E61-F61)</f>
        <v>38215.939737321605</v>
      </c>
      <c r="F62" s="39">
        <f t="shared" ref="F62:F111" si="19">IFERROR(J62-I62-H62-G62,"")</f>
        <v>613.77594831963586</v>
      </c>
      <c r="G62" s="39">
        <f t="shared" ref="G62:G111" si="20">IFERROR(E62*$D$10,"")</f>
        <v>304.73927008792612</v>
      </c>
      <c r="H62" s="39">
        <f t="shared" ref="H62:H111" si="21">IFERROR(E62*$D$17,"")</f>
        <v>26.751157816125126</v>
      </c>
      <c r="I62" s="39">
        <f t="shared" ref="I62:I111" si="22">IF(J62="","",IF(J62&gt;0,$D$18,""))</f>
        <v>3</v>
      </c>
      <c r="J62" s="39">
        <f t="shared" ref="J62:J111" si="23">IF(OR(D62=0,D62=""),"",$I$32)</f>
        <v>948.26637622368708</v>
      </c>
      <c r="L62" s="54"/>
      <c r="Q62" s="9"/>
      <c r="R62" s="9"/>
      <c r="S62" s="52"/>
      <c r="T62" s="52"/>
      <c r="U62" s="52"/>
      <c r="V62" s="9"/>
      <c r="W62" s="52"/>
      <c r="X62" s="52"/>
      <c r="Y62" s="52"/>
      <c r="Z62" s="52"/>
      <c r="AA62" s="52"/>
      <c r="AB62" s="53"/>
      <c r="AC62" s="53"/>
    </row>
    <row r="63" spans="1:29" x14ac:dyDescent="0.25">
      <c r="A63" s="4">
        <v>27</v>
      </c>
      <c r="B63" s="4">
        <f t="shared" si="6"/>
        <v>27</v>
      </c>
      <c r="C63" s="38">
        <f t="shared" si="7"/>
        <v>47013</v>
      </c>
      <c r="D63" s="4">
        <f t="shared" si="8"/>
        <v>24</v>
      </c>
      <c r="E63" s="39">
        <f t="shared" si="18"/>
        <v>37602.16378900197</v>
      </c>
      <c r="F63" s="39">
        <f t="shared" si="19"/>
        <v>619.09992708724394</v>
      </c>
      <c r="G63" s="39">
        <f t="shared" si="20"/>
        <v>299.84493448414179</v>
      </c>
      <c r="H63" s="39">
        <f t="shared" si="21"/>
        <v>26.321514652301381</v>
      </c>
      <c r="I63" s="39">
        <f t="shared" si="22"/>
        <v>3</v>
      </c>
      <c r="J63" s="39">
        <f t="shared" si="23"/>
        <v>948.26637622368708</v>
      </c>
      <c r="L63" s="54"/>
      <c r="Q63" s="9"/>
      <c r="R63" s="9"/>
      <c r="S63" s="52"/>
      <c r="T63" s="52"/>
      <c r="U63" s="52"/>
      <c r="V63" s="9"/>
      <c r="W63" s="52"/>
      <c r="X63" s="52"/>
      <c r="Y63" s="52"/>
      <c r="Z63" s="52"/>
      <c r="AA63" s="52"/>
      <c r="AB63" s="53"/>
      <c r="AC63" s="53"/>
    </row>
    <row r="64" spans="1:29" x14ac:dyDescent="0.25">
      <c r="A64" s="4">
        <v>28</v>
      </c>
      <c r="B64" s="4">
        <f t="shared" si="6"/>
        <v>28</v>
      </c>
      <c r="C64" s="38">
        <f t="shared" si="7"/>
        <v>47043</v>
      </c>
      <c r="D64" s="4">
        <f t="shared" si="8"/>
        <v>25</v>
      </c>
      <c r="E64" s="39">
        <f t="shared" si="18"/>
        <v>36983.063861914728</v>
      </c>
      <c r="F64" s="39">
        <f t="shared" si="19"/>
        <v>624.4700867943227</v>
      </c>
      <c r="G64" s="39">
        <f t="shared" si="20"/>
        <v>294.90814472602403</v>
      </c>
      <c r="H64" s="39">
        <f t="shared" si="21"/>
        <v>25.888144703340313</v>
      </c>
      <c r="I64" s="39">
        <f t="shared" si="22"/>
        <v>3</v>
      </c>
      <c r="J64" s="39">
        <f t="shared" si="23"/>
        <v>948.26637622368708</v>
      </c>
      <c r="L64" s="54"/>
      <c r="Q64" s="9"/>
      <c r="R64" s="9"/>
      <c r="S64" s="52"/>
      <c r="T64" s="52"/>
      <c r="U64" s="52"/>
      <c r="V64" s="9"/>
      <c r="W64" s="52"/>
      <c r="X64" s="52"/>
      <c r="Y64" s="52"/>
      <c r="Z64" s="52"/>
      <c r="AA64" s="52"/>
      <c r="AB64" s="53"/>
      <c r="AC64" s="53"/>
    </row>
    <row r="65" spans="1:29" x14ac:dyDescent="0.25">
      <c r="A65" s="4">
        <v>29</v>
      </c>
      <c r="B65" s="4">
        <f t="shared" si="6"/>
        <v>29</v>
      </c>
      <c r="C65" s="38">
        <f t="shared" si="7"/>
        <v>47074</v>
      </c>
      <c r="D65" s="4">
        <f t="shared" si="8"/>
        <v>26</v>
      </c>
      <c r="E65" s="39">
        <f t="shared" si="18"/>
        <v>36358.593775120404</v>
      </c>
      <c r="F65" s="39">
        <f t="shared" si="19"/>
        <v>629.88682802082644</v>
      </c>
      <c r="G65" s="39">
        <f t="shared" si="20"/>
        <v>289.92853256027632</v>
      </c>
      <c r="H65" s="39">
        <f t="shared" si="21"/>
        <v>25.451015642584288</v>
      </c>
      <c r="I65" s="39">
        <f t="shared" si="22"/>
        <v>3</v>
      </c>
      <c r="J65" s="39">
        <f t="shared" si="23"/>
        <v>948.26637622368708</v>
      </c>
      <c r="L65" s="54"/>
      <c r="Q65" s="9"/>
      <c r="R65" s="55"/>
      <c r="S65" s="55"/>
      <c r="T65" s="55"/>
      <c r="U65" s="55"/>
      <c r="V65" s="9"/>
      <c r="W65" s="55"/>
      <c r="X65" s="55"/>
      <c r="Y65" s="55"/>
      <c r="Z65" s="55"/>
      <c r="AA65" s="55"/>
      <c r="AB65" s="55"/>
      <c r="AC65" s="55"/>
    </row>
    <row r="66" spans="1:29" x14ac:dyDescent="0.25">
      <c r="A66" s="4">
        <v>30</v>
      </c>
      <c r="B66" s="4">
        <f t="shared" si="6"/>
        <v>30</v>
      </c>
      <c r="C66" s="38">
        <f t="shared" si="7"/>
        <v>47104</v>
      </c>
      <c r="D66" s="4">
        <f t="shared" si="8"/>
        <v>27</v>
      </c>
      <c r="E66" s="39">
        <f t="shared" si="18"/>
        <v>35728.706947099578</v>
      </c>
      <c r="F66" s="39">
        <f t="shared" si="19"/>
        <v>635.35055482139592</v>
      </c>
      <c r="G66" s="39">
        <f t="shared" si="20"/>
        <v>284.90572653932151</v>
      </c>
      <c r="H66" s="39">
        <f t="shared" si="21"/>
        <v>25.010094862969709</v>
      </c>
      <c r="I66" s="39">
        <f t="shared" si="22"/>
        <v>3</v>
      </c>
      <c r="J66" s="39">
        <f t="shared" si="23"/>
        <v>948.26637622368708</v>
      </c>
      <c r="L66" s="54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x14ac:dyDescent="0.25">
      <c r="A67" s="4">
        <v>31</v>
      </c>
      <c r="B67" s="4">
        <f t="shared" si="6"/>
        <v>31</v>
      </c>
      <c r="C67" s="38">
        <f t="shared" si="7"/>
        <v>47135</v>
      </c>
      <c r="D67" s="4">
        <f t="shared" si="8"/>
        <v>28</v>
      </c>
      <c r="E67" s="39">
        <f t="shared" si="18"/>
        <v>35093.356392278183</v>
      </c>
      <c r="F67" s="39">
        <f t="shared" si="19"/>
        <v>640.86167475549848</v>
      </c>
      <c r="G67" s="39">
        <f t="shared" si="20"/>
        <v>279.83935199359382</v>
      </c>
      <c r="H67" s="39">
        <f t="shared" si="21"/>
        <v>24.565349474594733</v>
      </c>
      <c r="I67" s="39">
        <f t="shared" si="22"/>
        <v>3</v>
      </c>
      <c r="J67" s="39">
        <f t="shared" si="23"/>
        <v>948.26637622368708</v>
      </c>
      <c r="L67" s="56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x14ac:dyDescent="0.25">
      <c r="A68" s="4">
        <v>32</v>
      </c>
      <c r="B68" s="4">
        <f t="shared" si="6"/>
        <v>32</v>
      </c>
      <c r="C68" s="38">
        <f t="shared" si="7"/>
        <v>47166</v>
      </c>
      <c r="D68" s="4">
        <f t="shared" si="8"/>
        <v>29</v>
      </c>
      <c r="E68" s="39">
        <f t="shared" si="18"/>
        <v>34452.494717522684</v>
      </c>
      <c r="F68" s="39">
        <f t="shared" si="19"/>
        <v>646.42059891783015</v>
      </c>
      <c r="G68" s="39">
        <f t="shared" si="20"/>
        <v>274.72903100359099</v>
      </c>
      <c r="H68" s="39">
        <f t="shared" si="21"/>
        <v>24.116746302265881</v>
      </c>
      <c r="I68" s="39">
        <f t="shared" si="22"/>
        <v>3</v>
      </c>
      <c r="J68" s="39">
        <f t="shared" si="23"/>
        <v>948.26637622368708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x14ac:dyDescent="0.25">
      <c r="A69" s="4">
        <v>33</v>
      </c>
      <c r="B69" s="4">
        <f t="shared" si="6"/>
        <v>33</v>
      </c>
      <c r="C69" s="38">
        <f t="shared" si="7"/>
        <v>47194</v>
      </c>
      <c r="D69" s="4">
        <f t="shared" si="8"/>
        <v>30</v>
      </c>
      <c r="E69" s="39">
        <f t="shared" si="18"/>
        <v>33806.074118604854</v>
      </c>
      <c r="F69" s="39">
        <f t="shared" si="19"/>
        <v>652.0277419689794</v>
      </c>
      <c r="G69" s="39">
        <f t="shared" si="20"/>
        <v>269.57438237168418</v>
      </c>
      <c r="H69" s="39">
        <f t="shared" si="21"/>
        <v>23.6642518830234</v>
      </c>
      <c r="I69" s="39">
        <f t="shared" si="22"/>
        <v>3</v>
      </c>
      <c r="J69" s="39">
        <f t="shared" si="23"/>
        <v>948.26637622368708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x14ac:dyDescent="0.25">
      <c r="A70" s="4">
        <v>34</v>
      </c>
      <c r="B70" s="4">
        <f t="shared" si="6"/>
        <v>34</v>
      </c>
      <c r="C70" s="38">
        <f t="shared" si="7"/>
        <v>47225</v>
      </c>
      <c r="D70" s="4">
        <f t="shared" si="8"/>
        <v>31</v>
      </c>
      <c r="E70" s="39">
        <f t="shared" si="18"/>
        <v>33154.046376635873</v>
      </c>
      <c r="F70" s="39">
        <f t="shared" si="19"/>
        <v>657.68352216635947</v>
      </c>
      <c r="G70" s="39">
        <f t="shared" si="20"/>
        <v>264.3750215936825</v>
      </c>
      <c r="H70" s="39">
        <f t="shared" si="21"/>
        <v>23.207832463645115</v>
      </c>
      <c r="I70" s="39">
        <f t="shared" si="22"/>
        <v>3</v>
      </c>
      <c r="J70" s="39">
        <f t="shared" si="23"/>
        <v>948.26637622368708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x14ac:dyDescent="0.25">
      <c r="A71" s="4">
        <v>35</v>
      </c>
      <c r="B71" s="4">
        <f t="shared" si="6"/>
        <v>35</v>
      </c>
      <c r="C71" s="38">
        <f t="shared" si="7"/>
        <v>47255</v>
      </c>
      <c r="D71" s="4">
        <f t="shared" si="8"/>
        <v>32</v>
      </c>
      <c r="E71" s="39">
        <f t="shared" si="18"/>
        <v>32496.362854469513</v>
      </c>
      <c r="F71" s="39">
        <f t="shared" si="19"/>
        <v>663.38836139540649</v>
      </c>
      <c r="G71" s="39">
        <f t="shared" si="20"/>
        <v>259.13056083015186</v>
      </c>
      <c r="H71" s="39">
        <f t="shared" si="21"/>
        <v>22.747453998128663</v>
      </c>
      <c r="I71" s="39">
        <f t="shared" si="22"/>
        <v>3</v>
      </c>
      <c r="J71" s="39">
        <f t="shared" si="23"/>
        <v>948.26637622368708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x14ac:dyDescent="0.25">
      <c r="A72" s="4">
        <v>36</v>
      </c>
      <c r="B72" s="4">
        <f t="shared" si="6"/>
        <v>36</v>
      </c>
      <c r="C72" s="38">
        <f t="shared" si="7"/>
        <v>47286</v>
      </c>
      <c r="D72" s="4">
        <f t="shared" si="8"/>
        <v>33</v>
      </c>
      <c r="E72" s="39">
        <f t="shared" si="18"/>
        <v>31832.974493074107</v>
      </c>
      <c r="F72" s="39">
        <f t="shared" si="19"/>
        <v>669.14268520105065</v>
      </c>
      <c r="G72" s="39">
        <f t="shared" si="20"/>
        <v>253.84060887748456</v>
      </c>
      <c r="H72" s="39">
        <f t="shared" si="21"/>
        <v>22.283082145151877</v>
      </c>
      <c r="I72" s="39">
        <f t="shared" si="22"/>
        <v>3</v>
      </c>
      <c r="J72" s="39">
        <f t="shared" si="23"/>
        <v>948.26637622368708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x14ac:dyDescent="0.25">
      <c r="A73" s="4">
        <v>37</v>
      </c>
      <c r="B73" s="4">
        <f t="shared" si="6"/>
        <v>37</v>
      </c>
      <c r="C73" s="38">
        <f t="shared" si="7"/>
        <v>47316</v>
      </c>
      <c r="D73" s="4">
        <f t="shared" si="8"/>
        <v>34</v>
      </c>
      <c r="E73" s="39">
        <f t="shared" si="18"/>
        <v>31163.831807873055</v>
      </c>
      <c r="F73" s="39">
        <f t="shared" si="19"/>
        <v>674.94692281945834</v>
      </c>
      <c r="G73" s="39">
        <f t="shared" si="20"/>
        <v>248.50477113871762</v>
      </c>
      <c r="H73" s="39">
        <f t="shared" si="21"/>
        <v>21.814682265511141</v>
      </c>
      <c r="I73" s="39">
        <f t="shared" si="22"/>
        <v>3</v>
      </c>
      <c r="J73" s="39">
        <f t="shared" si="23"/>
        <v>948.26637622368708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x14ac:dyDescent="0.25">
      <c r="A74" s="4">
        <v>38</v>
      </c>
      <c r="B74" s="4">
        <f t="shared" si="6"/>
        <v>38</v>
      </c>
      <c r="C74" s="38">
        <f t="shared" si="7"/>
        <v>47347</v>
      </c>
      <c r="D74" s="4">
        <f t="shared" si="8"/>
        <v>35</v>
      </c>
      <c r="E74" s="39">
        <f t="shared" si="18"/>
        <v>30488.884885053598</v>
      </c>
      <c r="F74" s="39">
        <f t="shared" si="19"/>
        <v>680.80150721005077</v>
      </c>
      <c r="G74" s="39">
        <f t="shared" si="20"/>
        <v>243.12264959409879</v>
      </c>
      <c r="H74" s="39">
        <f t="shared" si="21"/>
        <v>21.342219419537521</v>
      </c>
      <c r="I74" s="39">
        <f t="shared" si="22"/>
        <v>3</v>
      </c>
      <c r="J74" s="39">
        <f t="shared" si="23"/>
        <v>948.26637622368708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x14ac:dyDescent="0.25">
      <c r="A75" s="4">
        <v>39</v>
      </c>
      <c r="B75" s="4">
        <f t="shared" si="6"/>
        <v>39</v>
      </c>
      <c r="C75" s="38">
        <f t="shared" si="7"/>
        <v>47378</v>
      </c>
      <c r="D75" s="4">
        <f t="shared" si="8"/>
        <v>36</v>
      </c>
      <c r="E75" s="39">
        <f t="shared" si="18"/>
        <v>29808.083377843548</v>
      </c>
      <c r="F75" s="39">
        <f t="shared" si="19"/>
        <v>686.70687508780009</v>
      </c>
      <c r="G75" s="39">
        <f t="shared" si="20"/>
        <v>237.6938427713965</v>
      </c>
      <c r="H75" s="39">
        <f t="shared" si="21"/>
        <v>20.865658364490486</v>
      </c>
      <c r="I75" s="39">
        <f t="shared" si="22"/>
        <v>3</v>
      </c>
      <c r="J75" s="39">
        <f t="shared" si="23"/>
        <v>948.26637622368708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x14ac:dyDescent="0.25">
      <c r="A76" s="4">
        <v>40</v>
      </c>
      <c r="B76" s="4">
        <f t="shared" si="6"/>
        <v>40</v>
      </c>
      <c r="C76" s="38">
        <f t="shared" si="7"/>
        <v>47408</v>
      </c>
      <c r="D76" s="4">
        <f t="shared" si="8"/>
        <v>37</v>
      </c>
      <c r="E76" s="39">
        <f t="shared" si="18"/>
        <v>29121.376502755749</v>
      </c>
      <c r="F76" s="39">
        <f t="shared" si="19"/>
        <v>692.66346695580535</v>
      </c>
      <c r="G76" s="39">
        <f t="shared" si="20"/>
        <v>232.21794571595274</v>
      </c>
      <c r="H76" s="39">
        <f t="shared" si="21"/>
        <v>20.384963551929026</v>
      </c>
      <c r="I76" s="39">
        <f t="shared" si="22"/>
        <v>3</v>
      </c>
      <c r="J76" s="39">
        <f t="shared" si="23"/>
        <v>948.26637622368708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x14ac:dyDescent="0.25">
      <c r="A77" s="4">
        <v>41</v>
      </c>
      <c r="B77" s="4">
        <f t="shared" si="6"/>
        <v>41</v>
      </c>
      <c r="C77" s="38">
        <f t="shared" si="7"/>
        <v>47439</v>
      </c>
      <c r="D77" s="4">
        <f t="shared" si="8"/>
        <v>38</v>
      </c>
      <c r="E77" s="39">
        <f t="shared" si="18"/>
        <v>28428.713035799945</v>
      </c>
      <c r="F77" s="39">
        <f t="shared" si="19"/>
        <v>698.67172713815137</v>
      </c>
      <c r="G77" s="39">
        <f t="shared" si="20"/>
        <v>226.6945499604758</v>
      </c>
      <c r="H77" s="39">
        <f t="shared" si="21"/>
        <v>19.900099125059963</v>
      </c>
      <c r="I77" s="39">
        <f t="shared" si="22"/>
        <v>3</v>
      </c>
      <c r="J77" s="39">
        <f t="shared" si="23"/>
        <v>948.26637622368708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x14ac:dyDescent="0.25">
      <c r="A78" s="4">
        <v>42</v>
      </c>
      <c r="B78" s="4">
        <f t="shared" si="6"/>
        <v>42</v>
      </c>
      <c r="C78" s="38">
        <f t="shared" si="7"/>
        <v>47469</v>
      </c>
      <c r="D78" s="4">
        <f t="shared" si="8"/>
        <v>39</v>
      </c>
      <c r="E78" s="39">
        <f t="shared" si="18"/>
        <v>27730.041308661792</v>
      </c>
      <c r="F78" s="39">
        <f t="shared" si="19"/>
        <v>704.73210381305239</v>
      </c>
      <c r="G78" s="39">
        <f t="shared" si="20"/>
        <v>221.12324349457145</v>
      </c>
      <c r="H78" s="39">
        <f t="shared" si="21"/>
        <v>19.411028916063255</v>
      </c>
      <c r="I78" s="39">
        <f t="shared" si="22"/>
        <v>3</v>
      </c>
      <c r="J78" s="39">
        <f t="shared" si="23"/>
        <v>948.26637622368708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x14ac:dyDescent="0.25">
      <c r="A79" s="4">
        <v>43</v>
      </c>
      <c r="B79" s="4">
        <f t="shared" si="6"/>
        <v>43</v>
      </c>
      <c r="C79" s="38">
        <f t="shared" si="7"/>
        <v>47500</v>
      </c>
      <c r="D79" s="4">
        <f t="shared" si="8"/>
        <v>40</v>
      </c>
      <c r="E79" s="39">
        <f t="shared" si="18"/>
        <v>27025.309204848738</v>
      </c>
      <c r="F79" s="39">
        <f t="shared" si="19"/>
        <v>710.84504904628352</v>
      </c>
      <c r="G79" s="39">
        <f t="shared" si="20"/>
        <v>215.50361073400936</v>
      </c>
      <c r="H79" s="39">
        <f t="shared" si="21"/>
        <v>18.91771644339412</v>
      </c>
      <c r="I79" s="39">
        <f t="shared" si="22"/>
        <v>3</v>
      </c>
      <c r="J79" s="39">
        <f t="shared" si="23"/>
        <v>948.26637622368708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x14ac:dyDescent="0.25">
      <c r="A80" s="4">
        <v>44</v>
      </c>
      <c r="B80" s="4">
        <f t="shared" si="6"/>
        <v>44</v>
      </c>
      <c r="C80" s="38">
        <f t="shared" si="7"/>
        <v>47531</v>
      </c>
      <c r="D80" s="4">
        <f t="shared" si="8"/>
        <v>41</v>
      </c>
      <c r="E80" s="39">
        <f t="shared" si="18"/>
        <v>26314.464155802456</v>
      </c>
      <c r="F80" s="39">
        <f t="shared" si="19"/>
        <v>717.01101882490195</v>
      </c>
      <c r="G80" s="39">
        <f t="shared" si="20"/>
        <v>209.83523248972332</v>
      </c>
      <c r="H80" s="39">
        <f t="shared" si="21"/>
        <v>18.420124909061723</v>
      </c>
      <c r="I80" s="39">
        <f t="shared" si="22"/>
        <v>3</v>
      </c>
      <c r="J80" s="39">
        <f t="shared" si="23"/>
        <v>948.26637622368708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x14ac:dyDescent="0.25">
      <c r="A81" s="4">
        <v>45</v>
      </c>
      <c r="B81" s="4">
        <f t="shared" si="6"/>
        <v>45</v>
      </c>
      <c r="C81" s="38">
        <f t="shared" si="7"/>
        <v>47559</v>
      </c>
      <c r="D81" s="4">
        <f t="shared" si="8"/>
        <v>42</v>
      </c>
      <c r="E81" s="39">
        <f t="shared" si="18"/>
        <v>25597.453136977554</v>
      </c>
      <c r="F81" s="39">
        <f t="shared" si="19"/>
        <v>723.23047309126059</v>
      </c>
      <c r="G81" s="39">
        <f t="shared" si="20"/>
        <v>204.11768593654219</v>
      </c>
      <c r="H81" s="39">
        <f t="shared" si="21"/>
        <v>17.918217195884292</v>
      </c>
      <c r="I81" s="39">
        <f t="shared" si="22"/>
        <v>3</v>
      </c>
      <c r="J81" s="39">
        <f t="shared" si="23"/>
        <v>948.26637622368708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x14ac:dyDescent="0.25">
      <c r="A82" s="4">
        <v>46</v>
      </c>
      <c r="B82" s="4">
        <f t="shared" si="6"/>
        <v>46</v>
      </c>
      <c r="C82" s="38">
        <f t="shared" si="7"/>
        <v>47590</v>
      </c>
      <c r="D82" s="4">
        <f t="shared" si="8"/>
        <v>43</v>
      </c>
      <c r="E82" s="39">
        <f t="shared" si="18"/>
        <v>24874.222663886292</v>
      </c>
      <c r="F82" s="39">
        <f t="shared" si="19"/>
        <v>729.50387577731669</v>
      </c>
      <c r="G82" s="39">
        <f t="shared" si="20"/>
        <v>198.35054458164998</v>
      </c>
      <c r="H82" s="39">
        <f t="shared" si="21"/>
        <v>17.411955864720408</v>
      </c>
      <c r="I82" s="39">
        <f t="shared" si="22"/>
        <v>3</v>
      </c>
      <c r="J82" s="39">
        <f t="shared" si="23"/>
        <v>948.26637622368708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x14ac:dyDescent="0.25">
      <c r="A83" s="4">
        <v>47</v>
      </c>
      <c r="B83" s="4">
        <f t="shared" si="6"/>
        <v>47</v>
      </c>
      <c r="C83" s="38">
        <f t="shared" si="7"/>
        <v>47620</v>
      </c>
      <c r="D83" s="4">
        <f t="shared" si="8"/>
        <v>44</v>
      </c>
      <c r="E83" s="39">
        <f t="shared" si="18"/>
        <v>24144.718788108974</v>
      </c>
      <c r="F83" s="39">
        <f t="shared" si="19"/>
        <v>735.83169483923871</v>
      </c>
      <c r="G83" s="39">
        <f t="shared" si="20"/>
        <v>192.53337823277207</v>
      </c>
      <c r="H83" s="39">
        <f t="shared" si="21"/>
        <v>16.901303151676284</v>
      </c>
      <c r="I83" s="39">
        <f t="shared" si="22"/>
        <v>3</v>
      </c>
      <c r="J83" s="39">
        <f t="shared" si="23"/>
        <v>948.26637622368708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x14ac:dyDescent="0.25">
      <c r="A84" s="4">
        <v>48</v>
      </c>
      <c r="B84" s="4">
        <f t="shared" si="6"/>
        <v>48</v>
      </c>
      <c r="C84" s="38">
        <f t="shared" si="7"/>
        <v>47651</v>
      </c>
      <c r="D84" s="4">
        <f t="shared" si="8"/>
        <v>45</v>
      </c>
      <c r="E84" s="39">
        <f t="shared" si="18"/>
        <v>23408.887093269735</v>
      </c>
      <c r="F84" s="39">
        <f t="shared" si="19"/>
        <v>742.21440229231257</v>
      </c>
      <c r="G84" s="39">
        <f t="shared" si="20"/>
        <v>186.66575296608573</v>
      </c>
      <c r="H84" s="39">
        <f t="shared" si="21"/>
        <v>16.386220965288818</v>
      </c>
      <c r="I84" s="39">
        <f t="shared" si="22"/>
        <v>3</v>
      </c>
      <c r="J84" s="39">
        <f t="shared" si="23"/>
        <v>948.26637622368708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x14ac:dyDescent="0.25">
      <c r="A85" s="4">
        <v>49</v>
      </c>
      <c r="B85" s="4">
        <f t="shared" si="6"/>
        <v>49</v>
      </c>
      <c r="C85" s="38">
        <f t="shared" si="7"/>
        <v>47681</v>
      </c>
      <c r="D85" s="4">
        <f t="shared" si="8"/>
        <v>46</v>
      </c>
      <c r="E85" s="39">
        <f t="shared" si="18"/>
        <v>22666.672690977422</v>
      </c>
      <c r="F85" s="39">
        <f t="shared" si="19"/>
        <v>748.65247424615097</v>
      </c>
      <c r="G85" s="39">
        <f t="shared" si="20"/>
        <v>180.74723109385195</v>
      </c>
      <c r="H85" s="39">
        <f t="shared" si="21"/>
        <v>15.866670883684199</v>
      </c>
      <c r="I85" s="39">
        <f t="shared" si="22"/>
        <v>3</v>
      </c>
      <c r="J85" s="39">
        <f t="shared" si="23"/>
        <v>948.26637622368708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x14ac:dyDescent="0.25">
      <c r="A86" s="4">
        <v>50</v>
      </c>
      <c r="B86" s="4">
        <f t="shared" si="6"/>
        <v>50</v>
      </c>
      <c r="C86" s="38">
        <f t="shared" si="7"/>
        <v>47712</v>
      </c>
      <c r="D86" s="4">
        <f t="shared" si="8"/>
        <v>47</v>
      </c>
      <c r="E86" s="39">
        <f t="shared" si="18"/>
        <v>21918.020216731271</v>
      </c>
      <c r="F86" s="39">
        <f t="shared" si="19"/>
        <v>755.14639094020822</v>
      </c>
      <c r="G86" s="39">
        <f t="shared" si="20"/>
        <v>174.77737113176687</v>
      </c>
      <c r="H86" s="39">
        <f t="shared" si="21"/>
        <v>15.342614151711892</v>
      </c>
      <c r="I86" s="39">
        <f t="shared" si="22"/>
        <v>3</v>
      </c>
      <c r="J86" s="39">
        <f t="shared" si="23"/>
        <v>948.26637622368708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x14ac:dyDescent="0.25">
      <c r="A87" s="4">
        <v>51</v>
      </c>
      <c r="B87" s="4">
        <f t="shared" si="6"/>
        <v>51</v>
      </c>
      <c r="C87" s="38">
        <f t="shared" si="7"/>
        <v>47743</v>
      </c>
      <c r="D87" s="4">
        <f t="shared" si="8"/>
        <v>48</v>
      </c>
      <c r="E87" s="39">
        <f t="shared" si="18"/>
        <v>21162.873825791063</v>
      </c>
      <c r="F87" s="39">
        <f t="shared" si="19"/>
        <v>761.69663677960352</v>
      </c>
      <c r="G87" s="39">
        <f t="shared" si="20"/>
        <v>168.75572776602979</v>
      </c>
      <c r="H87" s="39">
        <f t="shared" si="21"/>
        <v>14.814011678053745</v>
      </c>
      <c r="I87" s="39">
        <f t="shared" si="22"/>
        <v>3</v>
      </c>
      <c r="J87" s="39">
        <f t="shared" si="23"/>
        <v>948.26637622368708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x14ac:dyDescent="0.25">
      <c r="A88" s="4">
        <v>52</v>
      </c>
      <c r="B88" s="4">
        <f t="shared" si="6"/>
        <v>52</v>
      </c>
      <c r="C88" s="38">
        <f t="shared" si="7"/>
        <v>47773</v>
      </c>
      <c r="D88" s="4">
        <f t="shared" si="8"/>
        <v>49</v>
      </c>
      <c r="E88" s="39">
        <f t="shared" si="18"/>
        <v>20401.177189011458</v>
      </c>
      <c r="F88" s="39">
        <f t="shared" si="19"/>
        <v>768.30370037125351</v>
      </c>
      <c r="G88" s="39">
        <f t="shared" si="20"/>
        <v>162.68185182012553</v>
      </c>
      <c r="H88" s="39">
        <f t="shared" si="21"/>
        <v>14.280824032308022</v>
      </c>
      <c r="I88" s="39">
        <f t="shared" si="22"/>
        <v>3</v>
      </c>
      <c r="J88" s="39">
        <f t="shared" si="23"/>
        <v>948.26637622368708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x14ac:dyDescent="0.25">
      <c r="A89" s="4">
        <v>53</v>
      </c>
      <c r="B89" s="4">
        <f t="shared" si="6"/>
        <v>53</v>
      </c>
      <c r="C89" s="38">
        <f t="shared" si="7"/>
        <v>47804</v>
      </c>
      <c r="D89" s="4">
        <f t="shared" si="8"/>
        <v>50</v>
      </c>
      <c r="E89" s="39">
        <f t="shared" si="18"/>
        <v>19632.873488640205</v>
      </c>
      <c r="F89" s="39">
        <f t="shared" si="19"/>
        <v>774.96807456032025</v>
      </c>
      <c r="G89" s="39">
        <f t="shared" si="20"/>
        <v>156.55529022131876</v>
      </c>
      <c r="H89" s="39">
        <f t="shared" si="21"/>
        <v>13.743011442048145</v>
      </c>
      <c r="I89" s="39">
        <f t="shared" si="22"/>
        <v>3</v>
      </c>
      <c r="J89" s="39">
        <f t="shared" si="23"/>
        <v>948.26637622368708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x14ac:dyDescent="0.25">
      <c r="A90" s="4">
        <v>54</v>
      </c>
      <c r="B90" s="4">
        <f t="shared" si="6"/>
        <v>54</v>
      </c>
      <c r="C90" s="38">
        <f t="shared" si="7"/>
        <v>47834</v>
      </c>
      <c r="D90" s="4">
        <f t="shared" si="8"/>
        <v>51</v>
      </c>
      <c r="E90" s="39">
        <f t="shared" si="18"/>
        <v>18857.905414079883</v>
      </c>
      <c r="F90" s="39">
        <f t="shared" si="19"/>
        <v>781.69025646697355</v>
      </c>
      <c r="G90" s="39">
        <f t="shared" si="20"/>
        <v>150.37558596685759</v>
      </c>
      <c r="H90" s="39">
        <f t="shared" si="21"/>
        <v>13.200533789855921</v>
      </c>
      <c r="I90" s="39">
        <f t="shared" si="22"/>
        <v>3</v>
      </c>
      <c r="J90" s="39">
        <f t="shared" si="23"/>
        <v>948.26637622368708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x14ac:dyDescent="0.25">
      <c r="A91" s="4">
        <v>55</v>
      </c>
      <c r="B91" s="4">
        <f t="shared" si="6"/>
        <v>55</v>
      </c>
      <c r="C91" s="38">
        <f t="shared" si="7"/>
        <v>47865</v>
      </c>
      <c r="D91" s="4">
        <f t="shared" si="8"/>
        <v>52</v>
      </c>
      <c r="E91" s="39">
        <f t="shared" si="18"/>
        <v>18076.215157612911</v>
      </c>
      <c r="F91" s="39">
        <f t="shared" si="19"/>
        <v>788.47074752347385</v>
      </c>
      <c r="G91" s="39">
        <f t="shared" si="20"/>
        <v>144.14227808988414</v>
      </c>
      <c r="H91" s="39">
        <f t="shared" si="21"/>
        <v>12.65335061032904</v>
      </c>
      <c r="I91" s="39">
        <f t="shared" si="22"/>
        <v>3</v>
      </c>
      <c r="J91" s="39">
        <f t="shared" si="23"/>
        <v>948.26637622368708</v>
      </c>
    </row>
    <row r="92" spans="1:29" x14ac:dyDescent="0.25">
      <c r="A92" s="4">
        <v>56</v>
      </c>
      <c r="B92" s="4">
        <f t="shared" si="6"/>
        <v>56</v>
      </c>
      <c r="C92" s="38">
        <f t="shared" si="7"/>
        <v>47896</v>
      </c>
      <c r="D92" s="4">
        <f t="shared" si="8"/>
        <v>53</v>
      </c>
      <c r="E92" s="39">
        <f t="shared" si="18"/>
        <v>17287.744410089435</v>
      </c>
      <c r="F92" s="39">
        <f t="shared" si="19"/>
        <v>795.31005351157523</v>
      </c>
      <c r="G92" s="39">
        <f t="shared" si="20"/>
        <v>137.85490162504922</v>
      </c>
      <c r="H92" s="39">
        <f t="shared" si="21"/>
        <v>12.101421087062606</v>
      </c>
      <c r="I92" s="39">
        <f t="shared" si="22"/>
        <v>3</v>
      </c>
      <c r="J92" s="39">
        <f t="shared" si="23"/>
        <v>948.26637622368708</v>
      </c>
    </row>
    <row r="93" spans="1:29" x14ac:dyDescent="0.25">
      <c r="A93" s="4">
        <v>57</v>
      </c>
      <c r="B93" s="4">
        <f t="shared" si="6"/>
        <v>57</v>
      </c>
      <c r="C93" s="38">
        <f t="shared" si="7"/>
        <v>47924</v>
      </c>
      <c r="D93" s="4">
        <f t="shared" si="8"/>
        <v>54</v>
      </c>
      <c r="E93" s="39">
        <f t="shared" si="18"/>
        <v>16492.434356577862</v>
      </c>
      <c r="F93" s="39">
        <f t="shared" si="19"/>
        <v>802.20868460025349</v>
      </c>
      <c r="G93" s="39">
        <f t="shared" si="20"/>
        <v>131.51298757382898</v>
      </c>
      <c r="H93" s="39">
        <f t="shared" si="21"/>
        <v>11.544704049604505</v>
      </c>
      <c r="I93" s="39">
        <f t="shared" si="22"/>
        <v>3</v>
      </c>
      <c r="J93" s="39">
        <f t="shared" si="23"/>
        <v>948.26637622368708</v>
      </c>
    </row>
    <row r="94" spans="1:29" x14ac:dyDescent="0.25">
      <c r="A94" s="4">
        <v>58</v>
      </c>
      <c r="B94" s="4">
        <f t="shared" si="6"/>
        <v>58</v>
      </c>
      <c r="C94" s="38">
        <f t="shared" si="7"/>
        <v>47955</v>
      </c>
      <c r="D94" s="4">
        <f t="shared" si="8"/>
        <v>55</v>
      </c>
      <c r="E94" s="39">
        <f t="shared" si="18"/>
        <v>15690.225671977609</v>
      </c>
      <c r="F94" s="39">
        <f t="shared" si="19"/>
        <v>809.16715538376229</v>
      </c>
      <c r="G94" s="39">
        <f t="shared" si="20"/>
        <v>125.11606286954039</v>
      </c>
      <c r="H94" s="39">
        <f t="shared" si="21"/>
        <v>10.983157970384328</v>
      </c>
      <c r="I94" s="39">
        <f t="shared" si="22"/>
        <v>3</v>
      </c>
      <c r="J94" s="39">
        <f t="shared" si="23"/>
        <v>948.26637622368708</v>
      </c>
    </row>
    <row r="95" spans="1:29" x14ac:dyDescent="0.25">
      <c r="A95" s="4">
        <v>59</v>
      </c>
      <c r="B95" s="4">
        <f t="shared" si="6"/>
        <v>59</v>
      </c>
      <c r="C95" s="38">
        <f t="shared" si="7"/>
        <v>47985</v>
      </c>
      <c r="D95" s="4">
        <f t="shared" si="8"/>
        <v>56</v>
      </c>
      <c r="E95" s="39">
        <f t="shared" si="18"/>
        <v>14881.058516593846</v>
      </c>
      <c r="F95" s="39">
        <f t="shared" si="19"/>
        <v>816.18598492001775</v>
      </c>
      <c r="G95" s="39">
        <f t="shared" si="20"/>
        <v>118.66365034205367</v>
      </c>
      <c r="H95" s="39">
        <f t="shared" si="21"/>
        <v>10.416740961615695</v>
      </c>
      <c r="I95" s="39">
        <f t="shared" si="22"/>
        <v>3</v>
      </c>
      <c r="J95" s="39">
        <f t="shared" si="23"/>
        <v>948.26637622368708</v>
      </c>
    </row>
    <row r="96" spans="1:29" x14ac:dyDescent="0.25">
      <c r="A96" s="4">
        <v>60</v>
      </c>
      <c r="B96" s="4">
        <f t="shared" si="6"/>
        <v>60</v>
      </c>
      <c r="C96" s="38">
        <f t="shared" si="7"/>
        <v>48016</v>
      </c>
      <c r="D96" s="4">
        <f t="shared" si="8"/>
        <v>57</v>
      </c>
      <c r="E96" s="39">
        <f t="shared" si="18"/>
        <v>14064.872531673829</v>
      </c>
      <c r="F96" s="39">
        <f t="shared" si="19"/>
        <v>823.26569676931706</v>
      </c>
      <c r="G96" s="39">
        <f t="shared" si="20"/>
        <v>112.15526868219833</v>
      </c>
      <c r="H96" s="39">
        <f t="shared" si="21"/>
        <v>9.8454107721716824</v>
      </c>
      <c r="I96" s="39">
        <f t="shared" si="22"/>
        <v>3</v>
      </c>
      <c r="J96" s="39">
        <f t="shared" si="23"/>
        <v>948.26637622368708</v>
      </c>
    </row>
    <row r="97" spans="1:10" x14ac:dyDescent="0.25">
      <c r="A97" s="4">
        <v>61</v>
      </c>
      <c r="B97" s="4">
        <f t="shared" si="6"/>
        <v>61</v>
      </c>
      <c r="C97" s="38">
        <f t="shared" si="7"/>
        <v>48046</v>
      </c>
      <c r="D97" s="4">
        <f t="shared" si="8"/>
        <v>58</v>
      </c>
      <c r="E97" s="39">
        <f t="shared" si="18"/>
        <v>13241.606834904513</v>
      </c>
      <c r="F97" s="39">
        <f t="shared" si="19"/>
        <v>830.40681903339339</v>
      </c>
      <c r="G97" s="39">
        <f t="shared" si="20"/>
        <v>105.59043240586048</v>
      </c>
      <c r="H97" s="39">
        <f t="shared" si="21"/>
        <v>9.2691247844331599</v>
      </c>
      <c r="I97" s="39">
        <f t="shared" si="22"/>
        <v>3</v>
      </c>
      <c r="J97" s="39">
        <f t="shared" si="23"/>
        <v>948.26637622368708</v>
      </c>
    </row>
    <row r="98" spans="1:10" x14ac:dyDescent="0.25">
      <c r="A98" s="4">
        <v>62</v>
      </c>
      <c r="B98" s="4">
        <f t="shared" si="6"/>
        <v>62</v>
      </c>
      <c r="C98" s="38">
        <f t="shared" si="7"/>
        <v>48077</v>
      </c>
      <c r="D98" s="4">
        <f t="shared" si="8"/>
        <v>59</v>
      </c>
      <c r="E98" s="39">
        <f t="shared" si="18"/>
        <v>12411.20001587112</v>
      </c>
      <c r="F98" s="39">
        <f t="shared" si="19"/>
        <v>837.60988439480843</v>
      </c>
      <c r="G98" s="39">
        <f t="shared" si="20"/>
        <v>98.968651817768944</v>
      </c>
      <c r="H98" s="39">
        <f t="shared" si="21"/>
        <v>8.6878400111097847</v>
      </c>
      <c r="I98" s="39">
        <f t="shared" si="22"/>
        <v>3</v>
      </c>
      <c r="J98" s="39">
        <f t="shared" si="23"/>
        <v>948.26637622368708</v>
      </c>
    </row>
    <row r="99" spans="1:10" x14ac:dyDescent="0.25">
      <c r="A99" s="4">
        <v>63</v>
      </c>
      <c r="B99" s="4">
        <f t="shared" si="6"/>
        <v>63</v>
      </c>
      <c r="C99" s="38">
        <f t="shared" si="7"/>
        <v>48108</v>
      </c>
      <c r="D99" s="4">
        <f t="shared" si="8"/>
        <v>60</v>
      </c>
      <c r="E99" s="39">
        <f t="shared" si="18"/>
        <v>11573.59013147631</v>
      </c>
      <c r="F99" s="39">
        <f t="shared" si="19"/>
        <v>844.87543015668678</v>
      </c>
      <c r="G99" s="39">
        <f t="shared" si="20"/>
        <v>92.289432974966886</v>
      </c>
      <c r="H99" s="39">
        <f t="shared" si="21"/>
        <v>8.101513092033418</v>
      </c>
      <c r="I99" s="39">
        <f t="shared" si="22"/>
        <v>3</v>
      </c>
      <c r="J99" s="39">
        <f t="shared" si="23"/>
        <v>948.26637622368708</v>
      </c>
    </row>
    <row r="100" spans="1:10" x14ac:dyDescent="0.25">
      <c r="A100" s="4">
        <v>64</v>
      </c>
      <c r="B100" s="4">
        <f t="shared" si="6"/>
        <v>64</v>
      </c>
      <c r="C100" s="38">
        <f t="shared" si="7"/>
        <v>48138</v>
      </c>
      <c r="D100" s="4">
        <f t="shared" si="8"/>
        <v>61</v>
      </c>
      <c r="E100" s="39">
        <f t="shared" si="18"/>
        <v>10728.714701319625</v>
      </c>
      <c r="F100" s="39">
        <f t="shared" si="19"/>
        <v>852.20399828279631</v>
      </c>
      <c r="G100" s="39">
        <f t="shared" si="20"/>
        <v>85.552277649966996</v>
      </c>
      <c r="H100" s="39">
        <f t="shared" si="21"/>
        <v>7.510100290923738</v>
      </c>
      <c r="I100" s="39">
        <f t="shared" si="22"/>
        <v>3</v>
      </c>
      <c r="J100" s="39">
        <f t="shared" si="23"/>
        <v>948.26637622368708</v>
      </c>
    </row>
    <row r="101" spans="1:10" x14ac:dyDescent="0.25">
      <c r="A101" s="4">
        <v>65</v>
      </c>
      <c r="B101" s="4">
        <f t="shared" si="6"/>
        <v>65</v>
      </c>
      <c r="C101" s="38">
        <f t="shared" si="7"/>
        <v>48169</v>
      </c>
      <c r="D101" s="4">
        <f t="shared" si="8"/>
        <v>62</v>
      </c>
      <c r="E101" s="39">
        <f t="shared" si="18"/>
        <v>9876.510703036829</v>
      </c>
      <c r="F101" s="39">
        <f t="shared" si="19"/>
        <v>859.59613543797468</v>
      </c>
      <c r="G101" s="39">
        <f t="shared" si="20"/>
        <v>78.756683293586718</v>
      </c>
      <c r="H101" s="39">
        <f t="shared" si="21"/>
        <v>6.913557492125781</v>
      </c>
      <c r="I101" s="39">
        <f t="shared" si="22"/>
        <v>3</v>
      </c>
      <c r="J101" s="39">
        <f t="shared" si="23"/>
        <v>948.26637622368708</v>
      </c>
    </row>
    <row r="102" spans="1:10" x14ac:dyDescent="0.25">
      <c r="A102" s="4">
        <v>66</v>
      </c>
      <c r="B102" s="4">
        <f t="shared" ref="B102:B111" si="24">IF(D102="","",A102)</f>
        <v>66</v>
      </c>
      <c r="C102" s="38">
        <f t="shared" ref="C102:C111" si="25">IF(D102="","",EDATE(C101,1))</f>
        <v>48199</v>
      </c>
      <c r="D102" s="4">
        <f t="shared" ref="D102:D111" si="26">IF(A102-$D$14&lt;0,0,IF(A102-$D$14&lt;=$D$13,A102-$D$14,""))</f>
        <v>63</v>
      </c>
      <c r="E102" s="39">
        <f t="shared" si="18"/>
        <v>9016.9145675988548</v>
      </c>
      <c r="F102" s="39">
        <f t="shared" si="19"/>
        <v>867.05239302890664</v>
      </c>
      <c r="G102" s="39">
        <f t="shared" si="20"/>
        <v>71.902142997461326</v>
      </c>
      <c r="H102" s="39">
        <f t="shared" si="21"/>
        <v>6.3118401973191993</v>
      </c>
      <c r="I102" s="39">
        <f t="shared" si="22"/>
        <v>3</v>
      </c>
      <c r="J102" s="39">
        <f t="shared" si="23"/>
        <v>948.26637622368708</v>
      </c>
    </row>
    <row r="103" spans="1:10" x14ac:dyDescent="0.25">
      <c r="A103" s="4">
        <v>67</v>
      </c>
      <c r="B103" s="4">
        <f t="shared" si="24"/>
        <v>67</v>
      </c>
      <c r="C103" s="38">
        <f t="shared" si="25"/>
        <v>48230</v>
      </c>
      <c r="D103" s="4">
        <f t="shared" si="26"/>
        <v>64</v>
      </c>
      <c r="E103" s="39">
        <f t="shared" si="18"/>
        <v>8149.8621745699484</v>
      </c>
      <c r="F103" s="39">
        <f t="shared" si="19"/>
        <v>874.57332724525634</v>
      </c>
      <c r="G103" s="39">
        <f t="shared" si="20"/>
        <v>64.988145456231777</v>
      </c>
      <c r="H103" s="39">
        <f t="shared" si="21"/>
        <v>5.7049035221989648</v>
      </c>
      <c r="I103" s="39">
        <f t="shared" si="22"/>
        <v>3</v>
      </c>
      <c r="J103" s="39">
        <f t="shared" si="23"/>
        <v>948.26637622368708</v>
      </c>
    </row>
    <row r="104" spans="1:10" x14ac:dyDescent="0.25">
      <c r="A104" s="4">
        <v>68</v>
      </c>
      <c r="B104" s="4">
        <f t="shared" si="24"/>
        <v>68</v>
      </c>
      <c r="C104" s="38">
        <f t="shared" si="25"/>
        <v>48261</v>
      </c>
      <c r="D104" s="4">
        <f t="shared" si="26"/>
        <v>65</v>
      </c>
      <c r="E104" s="39">
        <f t="shared" si="18"/>
        <v>7275.2888473246921</v>
      </c>
      <c r="F104" s="39">
        <f t="shared" si="19"/>
        <v>882.15949910115535</v>
      </c>
      <c r="G104" s="39">
        <f t="shared" si="20"/>
        <v>58.014174929404497</v>
      </c>
      <c r="H104" s="39">
        <f t="shared" si="21"/>
        <v>5.0927021931272849</v>
      </c>
      <c r="I104" s="39">
        <f t="shared" si="22"/>
        <v>3</v>
      </c>
      <c r="J104" s="39">
        <f t="shared" si="23"/>
        <v>948.26637622368708</v>
      </c>
    </row>
    <row r="105" spans="1:10" x14ac:dyDescent="0.25">
      <c r="A105" s="4">
        <v>69</v>
      </c>
      <c r="B105" s="4">
        <f t="shared" si="24"/>
        <v>69</v>
      </c>
      <c r="C105" s="38">
        <f t="shared" si="25"/>
        <v>48290</v>
      </c>
      <c r="D105" s="4">
        <f t="shared" si="26"/>
        <v>66</v>
      </c>
      <c r="E105" s="39">
        <f t="shared" si="18"/>
        <v>6393.1293482235369</v>
      </c>
      <c r="F105" s="39">
        <f t="shared" si="19"/>
        <v>889.81147447705007</v>
      </c>
      <c r="G105" s="39">
        <f t="shared" si="20"/>
        <v>50.97971120288048</v>
      </c>
      <c r="H105" s="39">
        <f t="shared" si="21"/>
        <v>4.4751905437564767</v>
      </c>
      <c r="I105" s="39">
        <f t="shared" si="22"/>
        <v>3</v>
      </c>
      <c r="J105" s="39">
        <f t="shared" si="23"/>
        <v>948.26637622368708</v>
      </c>
    </row>
    <row r="106" spans="1:10" x14ac:dyDescent="0.25">
      <c r="A106" s="4">
        <v>70</v>
      </c>
      <c r="B106" s="4">
        <f t="shared" si="24"/>
        <v>70</v>
      </c>
      <c r="C106" s="38">
        <f t="shared" si="25"/>
        <v>48321</v>
      </c>
      <c r="D106" s="4">
        <f t="shared" si="26"/>
        <v>67</v>
      </c>
      <c r="E106" s="39">
        <f t="shared" si="18"/>
        <v>5503.3178737464868</v>
      </c>
      <c r="F106" s="39">
        <f t="shared" si="19"/>
        <v>897.52982416191389</v>
      </c>
      <c r="G106" s="39">
        <f t="shared" si="20"/>
        <v>43.884229550150565</v>
      </c>
      <c r="H106" s="39">
        <f t="shared" si="21"/>
        <v>3.8523225116225412</v>
      </c>
      <c r="I106" s="39">
        <f t="shared" si="22"/>
        <v>3</v>
      </c>
      <c r="J106" s="39">
        <f t="shared" si="23"/>
        <v>948.26637622368708</v>
      </c>
    </row>
    <row r="107" spans="1:10" x14ac:dyDescent="0.25">
      <c r="A107" s="4">
        <v>71</v>
      </c>
      <c r="B107" s="4">
        <f t="shared" si="24"/>
        <v>71</v>
      </c>
      <c r="C107" s="38">
        <f t="shared" si="25"/>
        <v>48351</v>
      </c>
      <c r="D107" s="4">
        <f t="shared" si="26"/>
        <v>68</v>
      </c>
      <c r="E107" s="39">
        <f t="shared" si="18"/>
        <v>4605.7880495845729</v>
      </c>
      <c r="F107" s="39">
        <f t="shared" si="19"/>
        <v>905.31512389582372</v>
      </c>
      <c r="G107" s="39">
        <f t="shared" si="20"/>
        <v>36.72720069315416</v>
      </c>
      <c r="H107" s="39">
        <f t="shared" si="21"/>
        <v>3.2240516347092014</v>
      </c>
      <c r="I107" s="39">
        <f t="shared" si="22"/>
        <v>3</v>
      </c>
      <c r="J107" s="39">
        <f t="shared" si="23"/>
        <v>948.26637622368708</v>
      </c>
    </row>
    <row r="108" spans="1:10" x14ac:dyDescent="0.25">
      <c r="A108" s="4">
        <v>72</v>
      </c>
      <c r="B108" s="4">
        <f t="shared" si="24"/>
        <v>72</v>
      </c>
      <c r="C108" s="38">
        <f t="shared" si="25"/>
        <v>48382</v>
      </c>
      <c r="D108" s="4">
        <f t="shared" si="26"/>
        <v>69</v>
      </c>
      <c r="E108" s="39">
        <f t="shared" si="18"/>
        <v>3700.4729256887495</v>
      </c>
      <c r="F108" s="39">
        <f t="shared" si="19"/>
        <v>913.16795441290651</v>
      </c>
      <c r="G108" s="39">
        <f t="shared" si="20"/>
        <v>29.508090762798453</v>
      </c>
      <c r="H108" s="39">
        <f t="shared" si="21"/>
        <v>2.5903310479821249</v>
      </c>
      <c r="I108" s="39">
        <f t="shared" si="22"/>
        <v>3</v>
      </c>
      <c r="J108" s="39">
        <f t="shared" si="23"/>
        <v>948.26637622368708</v>
      </c>
    </row>
    <row r="109" spans="1:10" x14ac:dyDescent="0.25">
      <c r="A109" s="4">
        <v>73</v>
      </c>
      <c r="B109" s="4">
        <f t="shared" si="24"/>
        <v>73</v>
      </c>
      <c r="C109" s="38">
        <f t="shared" si="25"/>
        <v>48412</v>
      </c>
      <c r="D109" s="4">
        <f t="shared" si="26"/>
        <v>70</v>
      </c>
      <c r="E109" s="39">
        <f t="shared" si="18"/>
        <v>2787.3049712758429</v>
      </c>
      <c r="F109" s="39">
        <f t="shared" si="19"/>
        <v>921.08890148465878</v>
      </c>
      <c r="G109" s="39">
        <f t="shared" si="20"/>
        <v>22.226361259135146</v>
      </c>
      <c r="H109" s="39">
        <f t="shared" si="21"/>
        <v>1.9511134798930903</v>
      </c>
      <c r="I109" s="39">
        <f t="shared" si="22"/>
        <v>3</v>
      </c>
      <c r="J109" s="39">
        <f t="shared" si="23"/>
        <v>948.26637622368708</v>
      </c>
    </row>
    <row r="110" spans="1:10" x14ac:dyDescent="0.25">
      <c r="A110" s="4">
        <v>74</v>
      </c>
      <c r="B110" s="4">
        <f t="shared" si="24"/>
        <v>74</v>
      </c>
      <c r="C110" s="38">
        <f t="shared" si="25"/>
        <v>48443</v>
      </c>
      <c r="D110" s="4">
        <f t="shared" si="26"/>
        <v>71</v>
      </c>
      <c r="E110" s="39">
        <f t="shared" si="18"/>
        <v>1866.2160697911841</v>
      </c>
      <c r="F110" s="39">
        <f t="shared" si="19"/>
        <v>929.07855596364141</v>
      </c>
      <c r="G110" s="39">
        <f t="shared" si="20"/>
        <v>14.88146901119177</v>
      </c>
      <c r="H110" s="39">
        <f t="shared" si="21"/>
        <v>1.3063512488538289</v>
      </c>
      <c r="I110" s="39">
        <f t="shared" si="22"/>
        <v>3</v>
      </c>
      <c r="J110" s="39">
        <f t="shared" si="23"/>
        <v>948.26637622368708</v>
      </c>
    </row>
    <row r="111" spans="1:10" x14ac:dyDescent="0.25">
      <c r="A111" s="4">
        <v>75</v>
      </c>
      <c r="B111" s="4">
        <f t="shared" si="24"/>
        <v>75</v>
      </c>
      <c r="C111" s="38">
        <f t="shared" si="25"/>
        <v>48474</v>
      </c>
      <c r="D111" s="4">
        <f t="shared" si="26"/>
        <v>72</v>
      </c>
      <c r="E111" s="39">
        <f t="shared" si="18"/>
        <v>937.13751382754265</v>
      </c>
      <c r="F111" s="39">
        <f t="shared" si="19"/>
        <v>937.13751382755333</v>
      </c>
      <c r="G111" s="39">
        <f t="shared" si="20"/>
        <v>7.4728661364545683</v>
      </c>
      <c r="H111" s="39">
        <f t="shared" si="21"/>
        <v>0.65599625967927999</v>
      </c>
      <c r="I111" s="39">
        <f t="shared" si="22"/>
        <v>3</v>
      </c>
      <c r="J111" s="39">
        <f t="shared" si="23"/>
        <v>948.26637622368708</v>
      </c>
    </row>
  </sheetData>
  <sheetProtection algorithmName="SHA-512" hashValue="IEoIds1sgUHUrFMzZXB6BM9Vao7GYfzvGPqS96UNcdblre0VAqFdXvVUqayydrfdwzSs+T93rfOnQIaOQEjCRw==" saltValue="i4G0FzwLS3m2pLGB1bzAWw==" spinCount="100000" sheet="1" objects="1" scenarios="1"/>
  <mergeCells count="5">
    <mergeCell ref="B1:L2"/>
    <mergeCell ref="B3:K4"/>
    <mergeCell ref="B5:L5"/>
    <mergeCell ref="B6:L6"/>
    <mergeCell ref="L37:P43"/>
  </mergeCells>
  <dataValidations count="4">
    <dataValidation type="list" allowBlank="1" showInputMessage="1" showErrorMessage="1" error="Seleccione uno de los tipos de seguro de desgravamen de la lista" sqref="D16" xr:uid="{F1BF66AE-EB68-45A8-8530-379CFB529AA2}">
      <formula1>IF($D$13&lt;24,$G$13:$G$14,$F$13:$F$15)</formula1>
    </dataValidation>
    <dataValidation type="whole" operator="lessThan" allowBlank="1" showInputMessage="1" showErrorMessage="1" sqref="D14" xr:uid="{E2117AB6-BC6A-4FDA-925A-2C604ADDB6EE}">
      <formula1>4</formula1>
    </dataValidation>
    <dataValidation type="whole" allowBlank="1" showInputMessage="1" showErrorMessage="1" errorTitle="Plazo no válido" error="Solo puedes ingresar un plazo entre 1 y 72 meses" sqref="D13" xr:uid="{585FD7B4-B1B8-4D97-A08B-C96E804585A8}">
      <formula1>1</formula1>
      <formula2>72</formula2>
    </dataValidation>
    <dataValidation type="list" allowBlank="1" showInputMessage="1" showErrorMessage="1" errorTitle="Día de pago Inválido" error="Debe seleccionar el día 2 o 17 de cada mes" sqref="D19" xr:uid="{347B6A15-AB8D-48F2-84AA-818F98EC1623}">
      <formula1>$G$19:$G$20</formula1>
    </dataValidation>
  </dataValidations>
  <pageMargins left="0.7" right="0.7" top="0.75" bottom="0.75" header="0.3" footer="0.3"/>
  <pageSetup orientation="portrait" horizontalDpi="300" verticalDpi="300" r:id="rId1"/>
  <ignoredErrors>
    <ignoredError sqref="R32 S37:S38 S34" numberStoredAsText="1"/>
    <ignoredError sqref="I14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F1A6-4A3E-475B-9C0E-D919A91D0F05}">
  <dimension ref="A1:C76"/>
  <sheetViews>
    <sheetView workbookViewId="0">
      <selection sqref="A1:A76"/>
    </sheetView>
  </sheetViews>
  <sheetFormatPr baseColWidth="10" defaultColWidth="11.42578125" defaultRowHeight="15" x14ac:dyDescent="0.25"/>
  <sheetData>
    <row r="1" spans="1:3" x14ac:dyDescent="0.25">
      <c r="A1" s="1">
        <v>0</v>
      </c>
    </row>
    <row r="2" spans="1:3" x14ac:dyDescent="0.25">
      <c r="A2" s="1">
        <v>1646.0771669059902</v>
      </c>
      <c r="C2" s="2" t="e">
        <f>IRR(A1:A76,2%)</f>
        <v>#NUM!</v>
      </c>
    </row>
    <row r="3" spans="1:3" x14ac:dyDescent="0.25">
      <c r="A3" s="1">
        <v>1646.0771669059902</v>
      </c>
    </row>
    <row r="4" spans="1:3" x14ac:dyDescent="0.25">
      <c r="A4" s="1">
        <v>1646.0771669059902</v>
      </c>
    </row>
    <row r="5" spans="1:3" x14ac:dyDescent="0.25">
      <c r="A5" s="1">
        <v>1646.0771669059902</v>
      </c>
    </row>
    <row r="6" spans="1:3" x14ac:dyDescent="0.25">
      <c r="A6" s="1">
        <v>1646.0771669059902</v>
      </c>
    </row>
    <row r="7" spans="1:3" x14ac:dyDescent="0.25">
      <c r="A7" s="1">
        <v>1646.0771669059902</v>
      </c>
    </row>
    <row r="8" spans="1:3" x14ac:dyDescent="0.25">
      <c r="A8" s="1">
        <v>1646.0771669059902</v>
      </c>
    </row>
    <row r="9" spans="1:3" x14ac:dyDescent="0.25">
      <c r="A9" s="1">
        <v>1646.0771669059902</v>
      </c>
    </row>
    <row r="10" spans="1:3" x14ac:dyDescent="0.25">
      <c r="A10" s="1">
        <v>1646.0771669059902</v>
      </c>
    </row>
    <row r="11" spans="1:3" x14ac:dyDescent="0.25">
      <c r="A11" s="1">
        <v>1646.0771669059902</v>
      </c>
    </row>
    <row r="12" spans="1:3" x14ac:dyDescent="0.25">
      <c r="A12" s="1">
        <v>1646.0771669059902</v>
      </c>
    </row>
    <row r="13" spans="1:3" x14ac:dyDescent="0.25">
      <c r="A13" s="1">
        <v>1646.0771669059902</v>
      </c>
    </row>
    <row r="14" spans="1:3" x14ac:dyDescent="0.25">
      <c r="A14" s="1">
        <v>1646.0771669059902</v>
      </c>
    </row>
    <row r="15" spans="1:3" x14ac:dyDescent="0.25">
      <c r="A15" s="1">
        <v>1646.0771669059902</v>
      </c>
    </row>
    <row r="16" spans="1:3" x14ac:dyDescent="0.25">
      <c r="A16" s="1">
        <v>1646.0771669059902</v>
      </c>
    </row>
    <row r="17" spans="1:1" x14ac:dyDescent="0.25">
      <c r="A17" s="1">
        <v>1646.0771669059902</v>
      </c>
    </row>
    <row r="18" spans="1:1" x14ac:dyDescent="0.25">
      <c r="A18" s="1">
        <v>1646.0771669059902</v>
      </c>
    </row>
    <row r="19" spans="1:1" x14ac:dyDescent="0.25">
      <c r="A19" s="1">
        <v>1646.0771669059902</v>
      </c>
    </row>
    <row r="20" spans="1:1" x14ac:dyDescent="0.25">
      <c r="A20" s="1">
        <v>1646.0771669059902</v>
      </c>
    </row>
    <row r="21" spans="1:1" x14ac:dyDescent="0.25">
      <c r="A21" s="1">
        <v>1646.0771669059902</v>
      </c>
    </row>
    <row r="22" spans="1:1" x14ac:dyDescent="0.25">
      <c r="A22" s="1">
        <v>1646.0771669059902</v>
      </c>
    </row>
    <row r="23" spans="1:1" x14ac:dyDescent="0.25">
      <c r="A23" s="1">
        <v>1646.0771669059902</v>
      </c>
    </row>
    <row r="24" spans="1:1" x14ac:dyDescent="0.25">
      <c r="A24" s="1">
        <v>1646.0771669059902</v>
      </c>
    </row>
    <row r="25" spans="1:1" x14ac:dyDescent="0.25">
      <c r="A25" s="1">
        <v>1646.0771669059902</v>
      </c>
    </row>
    <row r="26" spans="1:1" x14ac:dyDescent="0.25">
      <c r="A26" s="1">
        <v>1646.0771669059902</v>
      </c>
    </row>
    <row r="27" spans="1:1" x14ac:dyDescent="0.25">
      <c r="A27" s="1">
        <v>1646.0771669059902</v>
      </c>
    </row>
    <row r="28" spans="1:1" x14ac:dyDescent="0.25">
      <c r="A28" s="1">
        <v>1646.0771669059902</v>
      </c>
    </row>
    <row r="29" spans="1:1" x14ac:dyDescent="0.25">
      <c r="A29" s="1">
        <v>1646.0771669059902</v>
      </c>
    </row>
    <row r="30" spans="1:1" x14ac:dyDescent="0.25">
      <c r="A30" s="1">
        <v>1646.0771669059902</v>
      </c>
    </row>
    <row r="31" spans="1:1" x14ac:dyDescent="0.25">
      <c r="A31" s="1">
        <v>1646.0771669059902</v>
      </c>
    </row>
    <row r="32" spans="1:1" x14ac:dyDescent="0.25">
      <c r="A32" s="1">
        <v>1646.0771669059902</v>
      </c>
    </row>
    <row r="33" spans="1:1" x14ac:dyDescent="0.25">
      <c r="A33" s="1">
        <v>1646.0771669059902</v>
      </c>
    </row>
    <row r="34" spans="1:1" x14ac:dyDescent="0.25">
      <c r="A34" s="1">
        <v>1646.0771669059902</v>
      </c>
    </row>
    <row r="35" spans="1:1" x14ac:dyDescent="0.25">
      <c r="A35" s="1">
        <v>1646.0771669059902</v>
      </c>
    </row>
    <row r="36" spans="1:1" x14ac:dyDescent="0.25">
      <c r="A36" s="1">
        <v>1646.0771669059902</v>
      </c>
    </row>
    <row r="37" spans="1:1" x14ac:dyDescent="0.25">
      <c r="A37" s="1">
        <v>1646.0771669059902</v>
      </c>
    </row>
    <row r="38" spans="1:1" x14ac:dyDescent="0.25">
      <c r="A38" s="1">
        <v>1646.0771669059902</v>
      </c>
    </row>
    <row r="39" spans="1:1" x14ac:dyDescent="0.25">
      <c r="A39" s="1">
        <v>1646.0771669059902</v>
      </c>
    </row>
    <row r="40" spans="1:1" x14ac:dyDescent="0.25">
      <c r="A40" s="1">
        <v>1646.0771669059902</v>
      </c>
    </row>
    <row r="41" spans="1:1" x14ac:dyDescent="0.25">
      <c r="A41" s="1">
        <v>1646.0771669059902</v>
      </c>
    </row>
    <row r="42" spans="1:1" x14ac:dyDescent="0.25">
      <c r="A42" s="1">
        <v>1646.0771669059902</v>
      </c>
    </row>
    <row r="43" spans="1:1" x14ac:dyDescent="0.25">
      <c r="A43" s="1">
        <v>1646.0771669059902</v>
      </c>
    </row>
    <row r="44" spans="1:1" x14ac:dyDescent="0.25">
      <c r="A44" s="1">
        <v>1646.0771669059902</v>
      </c>
    </row>
    <row r="45" spans="1:1" x14ac:dyDescent="0.25">
      <c r="A45" s="1">
        <v>1646.0771669059902</v>
      </c>
    </row>
    <row r="46" spans="1:1" x14ac:dyDescent="0.25">
      <c r="A46" s="1">
        <v>1646.0771669059902</v>
      </c>
    </row>
    <row r="47" spans="1:1" x14ac:dyDescent="0.25">
      <c r="A47" s="1">
        <v>1646.0771669059902</v>
      </c>
    </row>
    <row r="48" spans="1:1" x14ac:dyDescent="0.25">
      <c r="A48" s="1">
        <v>1646.0771669059902</v>
      </c>
    </row>
    <row r="49" spans="1:1" x14ac:dyDescent="0.25">
      <c r="A49" s="1">
        <v>1646.0771669059902</v>
      </c>
    </row>
    <row r="50" spans="1:1" x14ac:dyDescent="0.25">
      <c r="A50" s="1">
        <v>1646.0771669059902</v>
      </c>
    </row>
    <row r="51" spans="1:1" x14ac:dyDescent="0.25">
      <c r="A51" s="1">
        <v>1646.0771669059902</v>
      </c>
    </row>
    <row r="52" spans="1:1" x14ac:dyDescent="0.25">
      <c r="A52" s="1">
        <v>1646.0771669059902</v>
      </c>
    </row>
    <row r="53" spans="1:1" x14ac:dyDescent="0.25">
      <c r="A53" s="1">
        <v>1646.0771669059902</v>
      </c>
    </row>
    <row r="54" spans="1:1" x14ac:dyDescent="0.25">
      <c r="A54" s="1">
        <v>1646.0771669059902</v>
      </c>
    </row>
    <row r="55" spans="1:1" x14ac:dyDescent="0.25">
      <c r="A55" s="1">
        <v>1646.0771669059902</v>
      </c>
    </row>
    <row r="56" spans="1:1" x14ac:dyDescent="0.25">
      <c r="A56" s="1">
        <v>1646.0771669059902</v>
      </c>
    </row>
    <row r="57" spans="1:1" x14ac:dyDescent="0.25">
      <c r="A57" s="1">
        <v>1646.0771669059902</v>
      </c>
    </row>
    <row r="58" spans="1:1" x14ac:dyDescent="0.25">
      <c r="A58" s="1">
        <v>1646.0771669059902</v>
      </c>
    </row>
    <row r="59" spans="1:1" x14ac:dyDescent="0.25">
      <c r="A59" s="1">
        <v>1646.0771669059902</v>
      </c>
    </row>
    <row r="60" spans="1:1" x14ac:dyDescent="0.25">
      <c r="A60" s="1">
        <v>1646.0771669059902</v>
      </c>
    </row>
    <row r="61" spans="1:1" x14ac:dyDescent="0.25">
      <c r="A61" s="1">
        <v>1646.0771669059902</v>
      </c>
    </row>
    <row r="62" spans="1:1" x14ac:dyDescent="0.25">
      <c r="A62" s="1">
        <v>1646.0771669059902</v>
      </c>
    </row>
    <row r="63" spans="1:1" x14ac:dyDescent="0.25">
      <c r="A63" s="1">
        <v>1646.0771669059902</v>
      </c>
    </row>
    <row r="64" spans="1:1" x14ac:dyDescent="0.25">
      <c r="A64" s="1">
        <v>1646.0771669059902</v>
      </c>
    </row>
    <row r="65" spans="1:1" x14ac:dyDescent="0.25">
      <c r="A65" s="1">
        <v>1646.0771669059902</v>
      </c>
    </row>
    <row r="66" spans="1:1" x14ac:dyDescent="0.25">
      <c r="A66" s="1">
        <v>1646.0771669059902</v>
      </c>
    </row>
    <row r="67" spans="1:1" x14ac:dyDescent="0.25">
      <c r="A67" s="1">
        <v>1646.0771669059902</v>
      </c>
    </row>
    <row r="68" spans="1:1" x14ac:dyDescent="0.25">
      <c r="A68" s="1">
        <v>1646.0771669059902</v>
      </c>
    </row>
    <row r="69" spans="1:1" x14ac:dyDescent="0.25">
      <c r="A69" s="1">
        <v>1646.0771669059902</v>
      </c>
    </row>
    <row r="70" spans="1:1" x14ac:dyDescent="0.25">
      <c r="A70" s="1">
        <v>1646.0771669059902</v>
      </c>
    </row>
    <row r="71" spans="1:1" x14ac:dyDescent="0.25">
      <c r="A71" s="1">
        <v>1646.0771669059902</v>
      </c>
    </row>
    <row r="72" spans="1:1" x14ac:dyDescent="0.25">
      <c r="A72" s="1">
        <v>1646.0771669059902</v>
      </c>
    </row>
    <row r="73" spans="1:1" x14ac:dyDescent="0.25">
      <c r="A73" s="1">
        <v>1646.0771669059902</v>
      </c>
    </row>
    <row r="74" spans="1:1" x14ac:dyDescent="0.25">
      <c r="A74" s="1">
        <v>0</v>
      </c>
    </row>
    <row r="75" spans="1:1" x14ac:dyDescent="0.25">
      <c r="A75" s="1">
        <v>0</v>
      </c>
    </row>
    <row r="76" spans="1:1" x14ac:dyDescent="0.25">
      <c r="A76" s="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E14939CD54A148A390988401716D74" ma:contentTypeVersion="17" ma:contentTypeDescription="Create a new document." ma:contentTypeScope="" ma:versionID="815062898bbb895c48d6cefb1d2abd97">
  <xsd:schema xmlns:xsd="http://www.w3.org/2001/XMLSchema" xmlns:xs="http://www.w3.org/2001/XMLSchema" xmlns:p="http://schemas.microsoft.com/office/2006/metadata/properties" xmlns:ns1="http://schemas.microsoft.com/sharepoint/v3" xmlns:ns2="c5d4b8f8-86c5-453b-b395-515f5b4a286a" xmlns:ns3="afe8b597-c050-4d4f-bbd5-39eba3b5915b" targetNamespace="http://schemas.microsoft.com/office/2006/metadata/properties" ma:root="true" ma:fieldsID="0eb6118864dfea76527d535516099c12" ns1:_="" ns2:_="" ns3:_="">
    <xsd:import namespace="http://schemas.microsoft.com/sharepoint/v3"/>
    <xsd:import namespace="c5d4b8f8-86c5-453b-b395-515f5b4a286a"/>
    <xsd:import namespace="afe8b597-c050-4d4f-bbd5-39eba3b59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4b8f8-86c5-453b-b395-515f5b4a2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36f5af2-fc6c-420d-9bfd-1e8839ff1f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8b597-c050-4d4f-bbd5-39eba3b59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e75fda0-209b-4ce8-b725-a0494b3384f1}" ma:internalName="TaxCatchAll" ma:showField="CatchAllData" ma:web="afe8b597-c050-4d4f-bbd5-39eba3b59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afe8b597-c050-4d4f-bbd5-39eba3b5915b" xsi:nil="true"/>
    <lcf76f155ced4ddcb4097134ff3c332f xmlns="c5d4b8f8-86c5-453b-b395-515f5b4a28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C1648E-6FE3-4141-A7B4-FB5F7DD07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AE2C-4983-40C7-A80A-AA746C2E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4b8f8-86c5-453b-b395-515f5b4a286a"/>
    <ds:schemaRef ds:uri="afe8b597-c050-4d4f-bbd5-39eba3b59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4545DC-43CB-40C5-BCFD-A75D0A4846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e8b597-c050-4d4f-bbd5-39eba3b5915b"/>
    <ds:schemaRef ds:uri="c5d4b8f8-86c5-453b-b395-515f5b4a28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Simulador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la cruz Velezmoro, Romina Natalia</dc:creator>
  <cp:keywords/>
  <dc:description/>
  <cp:lastModifiedBy>Pinto Gastiaburu, Stefanny Del Carmen</cp:lastModifiedBy>
  <cp:revision/>
  <dcterms:created xsi:type="dcterms:W3CDTF">2025-02-17T19:51:51Z</dcterms:created>
  <dcterms:modified xsi:type="dcterms:W3CDTF">2026-06-25T20:29:03Z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0x010100A9E14939CD54A148A390988401716D74</vt:lpwstr>
  </property>
  <property fmtid="{D5CDD505-2E9C-101B-9397-08002B2CF9AE}" pid="3" name="MediaServiceImageTags">
    <vt:lpwstr/>
  </property>
</Properties>
</file>