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terbankpe-my.sharepoint.com/personal/gchavezpa_intercorp_com_pe/Documents/Simulador Préstamos/"/>
    </mc:Choice>
  </mc:AlternateContent>
  <xr:revisionPtr revIDLastSave="0" documentId="8_{6302AF0A-E303-4514-8942-3D0D4161FF8A}" xr6:coauthVersionLast="47" xr6:coauthVersionMax="47" xr10:uidLastSave="{00000000-0000-0000-0000-000000000000}"/>
  <bookViews>
    <workbookView xWindow="-110" yWindow="-110" windowWidth="19420" windowHeight="10420" firstSheet="1" activeTab="1" xr2:uid="{B7E54E91-5C78-44E0-B1B2-D73051E40A89}"/>
  </bookViews>
  <sheets>
    <sheet name="Simulador" sheetId="2" state="hidden" r:id="rId1"/>
    <sheet name="SIMULADOR_" sheetId="5" r:id="rId2"/>
    <sheet name="Hoja1" sheetId="10" state="hidden" r:id="rId3"/>
    <sheet name="COMPARATIVO SEGURO" sheetId="9" state="hidden" r:id="rId4"/>
    <sheet name="Simulador DATOS" sheetId="8" state="hidden" r:id="rId5"/>
    <sheet name="LEYENDA" sheetId="6" state="hidden" r:id="rId6"/>
  </sheets>
  <externalReferences>
    <externalReference r:id="rId7"/>
    <externalReference r:id="rId8"/>
    <externalReference r:id="rId9"/>
  </externalReferences>
  <definedNames>
    <definedName name="_xlnm._FilterDatabase" localSheetId="4" hidden="1">'Simulador DATOS'!$B$15:$C$22</definedName>
    <definedName name="_xlnm.Print_Area" localSheetId="4">'Simulador DATOS'!$F$1:$T$165</definedName>
    <definedName name="Beneficios">[1]Frases!$A$17:$B$29</definedName>
    <definedName name="COMISION">[2]Datos!$E$24</definedName>
    <definedName name="Costos">[3]TCEA!$B$6:$G$29</definedName>
    <definedName name="CUOTA">[2]Datos!$N$26</definedName>
    <definedName name="FEC_DES">[2]Datos!$C$18</definedName>
    <definedName name="FEC_DES_GR">[2]Datos!$N$20</definedName>
    <definedName name="FEC_PRIMER_PAGO">[2]Datos!$C$21</definedName>
    <definedName name="ListaProd">[2]Listas!$F$2:$F$4</definedName>
    <definedName name="ListaTarjetas">#REF!</definedName>
    <definedName name="MESES_GRACIA">[2]Datos!$C$14</definedName>
    <definedName name="MESES_GRACIA2">#REF!</definedName>
    <definedName name="mesesgracia">#REF!</definedName>
    <definedName name="NoLaborables">'[3]No Laborables'!$C$4:$C$3162</definedName>
    <definedName name="PLAZO">[2]Datos!$C$13</definedName>
    <definedName name="TED">[2]Datos!$N$15</definedName>
    <definedName name="TED_0">[2]Datos!$N$13</definedName>
    <definedName name="TED_1">[2]Datos!$N$14</definedName>
    <definedName name="TEM">[2]Datos!$O$15</definedName>
    <definedName name="TIPO_CUOTA">[2]Datos!$D$17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5" l="1"/>
  <c r="I12" i="10"/>
  <c r="I13" i="10"/>
  <c r="I14" i="10"/>
  <c r="I15" i="10"/>
  <c r="I16" i="10"/>
  <c r="I17" i="10"/>
  <c r="I18" i="10"/>
  <c r="I19" i="10"/>
  <c r="I11" i="10"/>
  <c r="O7" i="10"/>
  <c r="O6" i="10"/>
  <c r="O5" i="10"/>
  <c r="C15" i="8"/>
  <c r="D4" i="8"/>
  <c r="C15" i="2" l="1"/>
  <c r="G31" i="5" l="1"/>
  <c r="C8" i="8" s="1"/>
  <c r="C7" i="8"/>
  <c r="C42" i="8" s="1"/>
  <c r="I24" i="5"/>
  <c r="I25" i="5"/>
  <c r="B51" i="6" l="1" a="1"/>
  <c r="Q28" i="6"/>
  <c r="R27" i="6"/>
  <c r="P7" i="6"/>
  <c r="P8" i="6"/>
  <c r="P9" i="6"/>
  <c r="P10" i="6"/>
  <c r="P11" i="6"/>
  <c r="P6" i="6"/>
  <c r="G35" i="5"/>
  <c r="C39" i="8" s="1"/>
  <c r="C37" i="8"/>
  <c r="B51" i="6" l="1"/>
  <c r="C35" i="8"/>
  <c r="C16" i="8" l="1"/>
  <c r="C18" i="8"/>
  <c r="D53" i="5" l="1"/>
  <c r="D54" i="5" s="1"/>
  <c r="D55" i="5" s="1"/>
  <c r="D56" i="5" s="1"/>
  <c r="D57" i="5" s="1"/>
  <c r="D58" i="5" s="1"/>
  <c r="D59" i="5" s="1"/>
  <c r="D60" i="5" s="1"/>
  <c r="D61" i="5" s="1"/>
  <c r="D62" i="5" s="1"/>
  <c r="D63" i="5" s="1"/>
  <c r="D64" i="5" s="1"/>
  <c r="D65" i="5" s="1"/>
  <c r="D66" i="5" s="1"/>
  <c r="D67" i="5" s="1"/>
  <c r="D68" i="5" s="1"/>
  <c r="D69" i="5" s="1"/>
  <c r="D70" i="5" s="1"/>
  <c r="D71" i="5" s="1"/>
  <c r="D72" i="5" s="1"/>
  <c r="D73" i="5" s="1"/>
  <c r="D74" i="5" s="1"/>
  <c r="D75" i="5" s="1"/>
  <c r="D76" i="5" s="1"/>
  <c r="D77" i="5" s="1"/>
  <c r="D78" i="5" s="1"/>
  <c r="D79" i="5" s="1"/>
  <c r="D80" i="5" s="1"/>
  <c r="D81" i="5" s="1"/>
  <c r="D82" i="5" s="1"/>
  <c r="D83" i="5" s="1"/>
  <c r="D84" i="5" s="1"/>
  <c r="D85" i="5" s="1"/>
  <c r="D86" i="5" s="1"/>
  <c r="D87" i="5" s="1"/>
  <c r="D88" i="5" s="1"/>
  <c r="D89" i="5" s="1"/>
  <c r="D90" i="5" s="1"/>
  <c r="D91" i="5" s="1"/>
  <c r="D92" i="5" s="1"/>
  <c r="D93" i="5" s="1"/>
  <c r="D94" i="5" s="1"/>
  <c r="D95" i="5" s="1"/>
  <c r="D96" i="5" s="1"/>
  <c r="D97" i="5" s="1"/>
  <c r="D98" i="5" s="1"/>
  <c r="D99" i="5" s="1"/>
  <c r="D100" i="5" s="1"/>
  <c r="D101" i="5" s="1"/>
  <c r="D102" i="5" s="1"/>
  <c r="D103" i="5" s="1"/>
  <c r="D104" i="5" s="1"/>
  <c r="D105" i="5" s="1"/>
  <c r="D106" i="5" s="1"/>
  <c r="D107" i="5" s="1"/>
  <c r="D108" i="5" s="1"/>
  <c r="D109" i="5" s="1"/>
  <c r="D110" i="5" s="1"/>
  <c r="D111" i="5" s="1"/>
  <c r="D112" i="5" s="1"/>
  <c r="D113" i="5" s="1"/>
  <c r="N8" i="8" l="1"/>
  <c r="R135" i="8" l="1"/>
  <c r="C11" i="8"/>
  <c r="C17" i="8"/>
  <c r="K8" i="8" l="1"/>
  <c r="L8" i="8" s="1"/>
  <c r="C2" i="8"/>
  <c r="R136" i="8"/>
  <c r="C12" i="8"/>
  <c r="C13" i="8" s="1"/>
  <c r="C20" i="8"/>
  <c r="C21" i="8"/>
  <c r="C19" i="8"/>
  <c r="B32" i="8"/>
  <c r="R138" i="8"/>
  <c r="C24" i="8"/>
  <c r="C27" i="8" s="1"/>
  <c r="F8" i="8" l="1"/>
  <c r="K9" i="8"/>
  <c r="K10" i="8" s="1"/>
  <c r="K1" i="8"/>
  <c r="B20" i="8"/>
  <c r="C29" i="8"/>
  <c r="C30" i="8" s="1"/>
  <c r="J8" i="8" l="1"/>
  <c r="M8" i="8" s="1"/>
  <c r="S8" i="8"/>
  <c r="K11" i="8"/>
  <c r="F9" i="8"/>
  <c r="S9" i="8" s="1"/>
  <c r="H8" i="8"/>
  <c r="J9" i="8" l="1"/>
  <c r="K12" i="8"/>
  <c r="F10" i="8"/>
  <c r="J26" i="2"/>
  <c r="S10" i="8" l="1"/>
  <c r="J10" i="8"/>
  <c r="K13" i="8"/>
  <c r="F11" i="8"/>
  <c r="G26" i="2"/>
  <c r="G15" i="2"/>
  <c r="G16" i="2" s="1"/>
  <c r="F15" i="2"/>
  <c r="F26" i="2"/>
  <c r="I26" i="2"/>
  <c r="G24" i="2"/>
  <c r="O26" i="2"/>
  <c r="N26" i="2"/>
  <c r="M26" i="2"/>
  <c r="K26" i="2"/>
  <c r="E21" i="2"/>
  <c r="C16" i="2"/>
  <c r="S11" i="8" l="1"/>
  <c r="J11" i="8"/>
  <c r="K14" i="8"/>
  <c r="F12" i="8"/>
  <c r="F27" i="2"/>
  <c r="S12" i="8" l="1"/>
  <c r="J12" i="8"/>
  <c r="K15" i="8"/>
  <c r="F13" i="8"/>
  <c r="H26" i="2"/>
  <c r="S13" i="8" l="1"/>
  <c r="J13" i="8"/>
  <c r="K16" i="8"/>
  <c r="F14" i="8"/>
  <c r="R140" i="8"/>
  <c r="S14" i="8" l="1"/>
  <c r="J14" i="8"/>
  <c r="K17" i="8"/>
  <c r="F15" i="8"/>
  <c r="V9" i="8"/>
  <c r="W9" i="8"/>
  <c r="AA8" i="8"/>
  <c r="U9" i="8"/>
  <c r="S15" i="8" l="1"/>
  <c r="K18" i="8"/>
  <c r="J15" i="8"/>
  <c r="F16" i="8"/>
  <c r="I8" i="8"/>
  <c r="G8" i="8"/>
  <c r="Q8" i="8"/>
  <c r="P8" i="8"/>
  <c r="O8" i="8" s="1"/>
  <c r="S16" i="8" l="1"/>
  <c r="J16" i="8"/>
  <c r="K19" i="8"/>
  <c r="F17" i="8"/>
  <c r="S17" i="8" l="1"/>
  <c r="J17" i="8"/>
  <c r="K20" i="8"/>
  <c r="F18" i="8"/>
  <c r="L9" i="8"/>
  <c r="S18" i="8" l="1"/>
  <c r="J18" i="8"/>
  <c r="K21" i="8"/>
  <c r="M9" i="8"/>
  <c r="K2" i="8"/>
  <c r="F19" i="8"/>
  <c r="V10" i="8"/>
  <c r="AA9" i="8"/>
  <c r="I9" i="8"/>
  <c r="H9" i="8"/>
  <c r="H10" i="8" s="1"/>
  <c r="G9" i="8"/>
  <c r="W10" i="8"/>
  <c r="U10" i="8"/>
  <c r="S19" i="8" l="1"/>
  <c r="J19" i="8"/>
  <c r="K22" i="8"/>
  <c r="F20" i="8"/>
  <c r="I10" i="8"/>
  <c r="U11" i="8"/>
  <c r="AA10" i="8"/>
  <c r="L10" i="8"/>
  <c r="G10" i="8"/>
  <c r="W11" i="8"/>
  <c r="V11" i="8"/>
  <c r="S20" i="8" l="1"/>
  <c r="K23" i="8"/>
  <c r="M10" i="8"/>
  <c r="J20" i="8"/>
  <c r="F21" i="8"/>
  <c r="U12" i="8"/>
  <c r="H11" i="8"/>
  <c r="I11" i="8"/>
  <c r="G11" i="8"/>
  <c r="AA11" i="8"/>
  <c r="L11" i="8"/>
  <c r="M11" i="8" s="1"/>
  <c r="V12" i="8"/>
  <c r="W12" i="8"/>
  <c r="S21" i="8" l="1"/>
  <c r="J21" i="8"/>
  <c r="K24" i="8"/>
  <c r="F22" i="8"/>
  <c r="W13" i="8"/>
  <c r="L12" i="8"/>
  <c r="I12" i="8"/>
  <c r="AA12" i="8"/>
  <c r="U13" i="8"/>
  <c r="G12" i="8"/>
  <c r="H12" i="8"/>
  <c r="V13" i="8"/>
  <c r="S22" i="8" l="1"/>
  <c r="K25" i="8"/>
  <c r="J22" i="8"/>
  <c r="M12" i="8"/>
  <c r="F23" i="8"/>
  <c r="V14" i="8"/>
  <c r="H13" i="8"/>
  <c r="G13" i="8"/>
  <c r="AA13" i="8"/>
  <c r="W14" i="8"/>
  <c r="I13" i="8"/>
  <c r="L13" i="8"/>
  <c r="U14" i="8"/>
  <c r="S23" i="8" l="1"/>
  <c r="K26" i="8"/>
  <c r="M13" i="8"/>
  <c r="J23" i="8"/>
  <c r="F24" i="8"/>
  <c r="G14" i="8"/>
  <c r="H14" i="8"/>
  <c r="U15" i="8"/>
  <c r="L14" i="8"/>
  <c r="I14" i="8"/>
  <c r="AA14" i="8"/>
  <c r="W15" i="8"/>
  <c r="V15" i="8"/>
  <c r="S24" i="8" l="1"/>
  <c r="J24" i="8"/>
  <c r="K27" i="8"/>
  <c r="M14" i="8"/>
  <c r="F25" i="8"/>
  <c r="G15" i="8"/>
  <c r="U16" i="8"/>
  <c r="L15" i="8"/>
  <c r="I15" i="8"/>
  <c r="V16" i="8"/>
  <c r="H15" i="8"/>
  <c r="AA15" i="8"/>
  <c r="W16" i="8"/>
  <c r="S25" i="8" l="1"/>
  <c r="J25" i="8"/>
  <c r="K28" i="8"/>
  <c r="M15" i="8"/>
  <c r="F26" i="8"/>
  <c r="AA16" i="8"/>
  <c r="L16" i="8"/>
  <c r="H16" i="8"/>
  <c r="W17" i="8"/>
  <c r="G16" i="8"/>
  <c r="I16" i="8"/>
  <c r="V17" i="8"/>
  <c r="U17" i="8"/>
  <c r="S26" i="8" l="1"/>
  <c r="K29" i="8"/>
  <c r="M16" i="8"/>
  <c r="J26" i="8"/>
  <c r="F27" i="8"/>
  <c r="G17" i="8"/>
  <c r="L17" i="8"/>
  <c r="V18" i="8"/>
  <c r="H17" i="8"/>
  <c r="AA17" i="8"/>
  <c r="I17" i="8"/>
  <c r="U18" i="8"/>
  <c r="W18" i="8"/>
  <c r="S27" i="8" l="1"/>
  <c r="M17" i="8"/>
  <c r="J27" i="8"/>
  <c r="K30" i="8"/>
  <c r="F28" i="8"/>
  <c r="U19" i="8"/>
  <c r="AA18" i="8"/>
  <c r="L18" i="8"/>
  <c r="G18" i="8"/>
  <c r="H18" i="8"/>
  <c r="V19" i="8"/>
  <c r="W19" i="8"/>
  <c r="I18" i="8"/>
  <c r="S28" i="8" l="1"/>
  <c r="K31" i="8"/>
  <c r="M18" i="8"/>
  <c r="J28" i="8"/>
  <c r="F29" i="8"/>
  <c r="V20" i="8"/>
  <c r="I19" i="8"/>
  <c r="L19" i="8"/>
  <c r="W20" i="8"/>
  <c r="H19" i="8"/>
  <c r="AA19" i="8"/>
  <c r="G19" i="8"/>
  <c r="U20" i="8"/>
  <c r="S29" i="8" l="1"/>
  <c r="M19" i="8"/>
  <c r="J29" i="8"/>
  <c r="K32" i="8"/>
  <c r="F30" i="8"/>
  <c r="L20" i="8"/>
  <c r="I20" i="8"/>
  <c r="W21" i="8"/>
  <c r="AA20" i="8"/>
  <c r="V21" i="8"/>
  <c r="U21" i="8"/>
  <c r="G20" i="8"/>
  <c r="H20" i="8"/>
  <c r="S30" i="8" l="1"/>
  <c r="J30" i="8"/>
  <c r="K33" i="8"/>
  <c r="M20" i="8"/>
  <c r="F31" i="8"/>
  <c r="U22" i="8"/>
  <c r="AA21" i="8"/>
  <c r="H21" i="8"/>
  <c r="I21" i="8"/>
  <c r="G21" i="8"/>
  <c r="L21" i="8"/>
  <c r="W22" i="8"/>
  <c r="V22" i="8"/>
  <c r="S31" i="8" l="1"/>
  <c r="J31" i="8"/>
  <c r="K34" i="8"/>
  <c r="M21" i="8"/>
  <c r="F32" i="8"/>
  <c r="AA22" i="8"/>
  <c r="I22" i="8"/>
  <c r="W23" i="8"/>
  <c r="V23" i="8"/>
  <c r="U23" i="8"/>
  <c r="L22" i="8"/>
  <c r="H22" i="8"/>
  <c r="G22" i="8"/>
  <c r="S32" i="8" l="1"/>
  <c r="K35" i="8"/>
  <c r="M22" i="8"/>
  <c r="J32" i="8"/>
  <c r="F33" i="8"/>
  <c r="V24" i="8"/>
  <c r="AA23" i="8"/>
  <c r="U24" i="8"/>
  <c r="H23" i="8"/>
  <c r="L23" i="8"/>
  <c r="I23" i="8"/>
  <c r="W24" i="8"/>
  <c r="G23" i="8"/>
  <c r="S33" i="8" l="1"/>
  <c r="M23" i="8"/>
  <c r="K36" i="8"/>
  <c r="J33" i="8"/>
  <c r="F34" i="8"/>
  <c r="I24" i="8"/>
  <c r="L24" i="8"/>
  <c r="H24" i="8"/>
  <c r="V25" i="8"/>
  <c r="W25" i="8"/>
  <c r="G24" i="8"/>
  <c r="AA24" i="8"/>
  <c r="U25" i="8"/>
  <c r="S34" i="8" l="1"/>
  <c r="K37" i="8"/>
  <c r="M24" i="8"/>
  <c r="J34" i="8"/>
  <c r="F35" i="8"/>
  <c r="U26" i="8"/>
  <c r="V26" i="8"/>
  <c r="H25" i="8"/>
  <c r="W26" i="8"/>
  <c r="I25" i="8"/>
  <c r="G25" i="8"/>
  <c r="AA25" i="8"/>
  <c r="L25" i="8"/>
  <c r="M25" i="8" s="1"/>
  <c r="S35" i="8" l="1"/>
  <c r="K38" i="8"/>
  <c r="J35" i="8"/>
  <c r="F36" i="8"/>
  <c r="H26" i="8"/>
  <c r="AA26" i="8"/>
  <c r="I26" i="8"/>
  <c r="W27" i="8"/>
  <c r="V27" i="8"/>
  <c r="G26" i="8"/>
  <c r="L26" i="8"/>
  <c r="U27" i="8"/>
  <c r="S36" i="8" l="1"/>
  <c r="J36" i="8"/>
  <c r="M26" i="8"/>
  <c r="K39" i="8"/>
  <c r="F37" i="8"/>
  <c r="W28" i="8"/>
  <c r="L27" i="8"/>
  <c r="M27" i="8" s="1"/>
  <c r="I27" i="8"/>
  <c r="H27" i="8"/>
  <c r="G27" i="8"/>
  <c r="U28" i="8"/>
  <c r="V28" i="8"/>
  <c r="AA27" i="8"/>
  <c r="S37" i="8" l="1"/>
  <c r="J37" i="8"/>
  <c r="K40" i="8"/>
  <c r="F38" i="8"/>
  <c r="L28" i="8"/>
  <c r="AA28" i="8"/>
  <c r="H28" i="8"/>
  <c r="W29" i="8"/>
  <c r="V29" i="8"/>
  <c r="U29" i="8"/>
  <c r="I28" i="8"/>
  <c r="G28" i="8"/>
  <c r="S38" i="8" l="1"/>
  <c r="M28" i="8"/>
  <c r="J38" i="8"/>
  <c r="K41" i="8"/>
  <c r="F39" i="8"/>
  <c r="I29" i="8"/>
  <c r="H29" i="8"/>
  <c r="U30" i="8"/>
  <c r="V30" i="8"/>
  <c r="W30" i="8"/>
  <c r="L29" i="8"/>
  <c r="G29" i="8"/>
  <c r="AA29" i="8"/>
  <c r="S39" i="8" l="1"/>
  <c r="M29" i="8"/>
  <c r="J39" i="8"/>
  <c r="K42" i="8"/>
  <c r="F40" i="8"/>
  <c r="L30" i="8"/>
  <c r="I30" i="8"/>
  <c r="U31" i="8"/>
  <c r="W31" i="8"/>
  <c r="V31" i="8"/>
  <c r="H30" i="8"/>
  <c r="AA30" i="8"/>
  <c r="G30" i="8"/>
  <c r="S40" i="8" l="1"/>
  <c r="M30" i="8"/>
  <c r="J40" i="8"/>
  <c r="K43" i="8"/>
  <c r="F41" i="8"/>
  <c r="I31" i="8"/>
  <c r="G31" i="8"/>
  <c r="V32" i="8"/>
  <c r="AA31" i="8"/>
  <c r="U32" i="8"/>
  <c r="W32" i="8"/>
  <c r="H31" i="8"/>
  <c r="L31" i="8"/>
  <c r="M31" i="8" s="1"/>
  <c r="S41" i="8" l="1"/>
  <c r="J41" i="8"/>
  <c r="K44" i="8"/>
  <c r="F42" i="8"/>
  <c r="G32" i="8"/>
  <c r="AA32" i="8"/>
  <c r="U33" i="8"/>
  <c r="V33" i="8"/>
  <c r="H32" i="8"/>
  <c r="I32" i="8"/>
  <c r="W33" i="8"/>
  <c r="L32" i="8"/>
  <c r="S42" i="8" l="1"/>
  <c r="M32" i="8"/>
  <c r="K45" i="8"/>
  <c r="J42" i="8"/>
  <c r="F43" i="8"/>
  <c r="W34" i="8"/>
  <c r="G33" i="8"/>
  <c r="AA33" i="8"/>
  <c r="I33" i="8"/>
  <c r="H33" i="8"/>
  <c r="L33" i="8"/>
  <c r="V34" i="8"/>
  <c r="U34" i="8"/>
  <c r="S43" i="8" l="1"/>
  <c r="M33" i="8"/>
  <c r="J43" i="8"/>
  <c r="K46" i="8"/>
  <c r="F44" i="8"/>
  <c r="AA34" i="8"/>
  <c r="G34" i="8"/>
  <c r="V35" i="8"/>
  <c r="H34" i="8"/>
  <c r="U35" i="8"/>
  <c r="W35" i="8"/>
  <c r="I34" i="8"/>
  <c r="L34" i="8"/>
  <c r="S44" i="8" l="1"/>
  <c r="M34" i="8"/>
  <c r="K47" i="8"/>
  <c r="J44" i="8"/>
  <c r="F45" i="8"/>
  <c r="G35" i="8"/>
  <c r="L35" i="8"/>
  <c r="M35" i="8" s="1"/>
  <c r="V36" i="8"/>
  <c r="H35" i="8"/>
  <c r="AA35" i="8"/>
  <c r="U36" i="8"/>
  <c r="W36" i="8"/>
  <c r="I35" i="8"/>
  <c r="S45" i="8" l="1"/>
  <c r="J45" i="8"/>
  <c r="K48" i="8"/>
  <c r="F46" i="8"/>
  <c r="L36" i="8"/>
  <c r="AA36" i="8"/>
  <c r="W37" i="8"/>
  <c r="G36" i="8"/>
  <c r="H36" i="8"/>
  <c r="U37" i="8"/>
  <c r="V37" i="8"/>
  <c r="I36" i="8"/>
  <c r="S46" i="8" l="1"/>
  <c r="M36" i="8"/>
  <c r="K49" i="8"/>
  <c r="J46" i="8"/>
  <c r="F47" i="8"/>
  <c r="L37" i="8"/>
  <c r="U38" i="8"/>
  <c r="AA37" i="8"/>
  <c r="I37" i="8"/>
  <c r="V38" i="8"/>
  <c r="H37" i="8"/>
  <c r="W38" i="8"/>
  <c r="G37" i="8"/>
  <c r="S47" i="8" l="1"/>
  <c r="M37" i="8"/>
  <c r="J47" i="8"/>
  <c r="K50" i="8"/>
  <c r="F48" i="8"/>
  <c r="AA38" i="8"/>
  <c r="H38" i="8"/>
  <c r="G38" i="8"/>
  <c r="I38" i="8"/>
  <c r="L38" i="8"/>
  <c r="M38" i="8" s="1"/>
  <c r="S48" i="8" l="1"/>
  <c r="J48" i="8"/>
  <c r="K51" i="8"/>
  <c r="F49" i="8"/>
  <c r="AA39" i="8"/>
  <c r="G39" i="8"/>
  <c r="I39" i="8"/>
  <c r="L39" i="8"/>
  <c r="M39" i="8" s="1"/>
  <c r="H39" i="8"/>
  <c r="S49" i="8" l="1"/>
  <c r="K52" i="8"/>
  <c r="J49" i="8"/>
  <c r="F50" i="8"/>
  <c r="I40" i="8"/>
  <c r="AA40" i="8"/>
  <c r="G40" i="8"/>
  <c r="H40" i="8"/>
  <c r="L40" i="8"/>
  <c r="S50" i="8" l="1"/>
  <c r="M40" i="8"/>
  <c r="J50" i="8"/>
  <c r="K53" i="8"/>
  <c r="F51" i="8"/>
  <c r="I41" i="8"/>
  <c r="L41" i="8"/>
  <c r="M41" i="8" s="1"/>
  <c r="H41" i="8"/>
  <c r="G41" i="8"/>
  <c r="AA41" i="8"/>
  <c r="S51" i="8" l="1"/>
  <c r="K54" i="8"/>
  <c r="J51" i="8"/>
  <c r="F52" i="8"/>
  <c r="I42" i="8"/>
  <c r="G42" i="8"/>
  <c r="H42" i="8"/>
  <c r="L42" i="8"/>
  <c r="AA42" i="8"/>
  <c r="S52" i="8" l="1"/>
  <c r="M42" i="8"/>
  <c r="J52" i="8"/>
  <c r="K55" i="8"/>
  <c r="F53" i="8"/>
  <c r="L43" i="8"/>
  <c r="G43" i="8"/>
  <c r="I43" i="8"/>
  <c r="AA43" i="8"/>
  <c r="H43" i="8"/>
  <c r="S53" i="8" l="1"/>
  <c r="M43" i="8"/>
  <c r="J53" i="8"/>
  <c r="K56" i="8"/>
  <c r="F54" i="8"/>
  <c r="H44" i="8"/>
  <c r="G44" i="8"/>
  <c r="I44" i="8"/>
  <c r="AA44" i="8"/>
  <c r="L44" i="8"/>
  <c r="S54" i="8" l="1"/>
  <c r="M44" i="8"/>
  <c r="J54" i="8"/>
  <c r="K57" i="8"/>
  <c r="F55" i="8"/>
  <c r="AA45" i="8"/>
  <c r="I45" i="8"/>
  <c r="H45" i="8"/>
  <c r="L45" i="8"/>
  <c r="M45" i="8" s="1"/>
  <c r="G45" i="8"/>
  <c r="S55" i="8" l="1"/>
  <c r="J55" i="8"/>
  <c r="K58" i="8"/>
  <c r="F56" i="8"/>
  <c r="G46" i="8"/>
  <c r="I46" i="8"/>
  <c r="H46" i="8"/>
  <c r="L46" i="8"/>
  <c r="AA46" i="8"/>
  <c r="S56" i="8" l="1"/>
  <c r="M46" i="8"/>
  <c r="J56" i="8"/>
  <c r="K59" i="8"/>
  <c r="F57" i="8"/>
  <c r="G47" i="8"/>
  <c r="H47" i="8"/>
  <c r="L47" i="8"/>
  <c r="AA47" i="8"/>
  <c r="I47" i="8"/>
  <c r="S57" i="8" l="1"/>
  <c r="M47" i="8"/>
  <c r="J57" i="8"/>
  <c r="K60" i="8"/>
  <c r="F58" i="8"/>
  <c r="G48" i="8"/>
  <c r="L48" i="8"/>
  <c r="H48" i="8"/>
  <c r="I48" i="8"/>
  <c r="AA48" i="8"/>
  <c r="S58" i="8" l="1"/>
  <c r="M48" i="8"/>
  <c r="K61" i="8"/>
  <c r="J58" i="8"/>
  <c r="F59" i="8"/>
  <c r="G49" i="8"/>
  <c r="AA49" i="8"/>
  <c r="H49" i="8"/>
  <c r="I49" i="8"/>
  <c r="L49" i="8"/>
  <c r="S59" i="8" l="1"/>
  <c r="M49" i="8"/>
  <c r="J59" i="8"/>
  <c r="K62" i="8"/>
  <c r="F60" i="8"/>
  <c r="AA50" i="8"/>
  <c r="I50" i="8"/>
  <c r="L50" i="8"/>
  <c r="G50" i="8"/>
  <c r="H50" i="8"/>
  <c r="S60" i="8" l="1"/>
  <c r="M50" i="8"/>
  <c r="J60" i="8"/>
  <c r="K63" i="8"/>
  <c r="F61" i="8"/>
  <c r="AA51" i="8"/>
  <c r="G51" i="8"/>
  <c r="H51" i="8"/>
  <c r="I51" i="8"/>
  <c r="L51" i="8"/>
  <c r="S61" i="8" l="1"/>
  <c r="M51" i="8"/>
  <c r="J61" i="8"/>
  <c r="K64" i="8"/>
  <c r="F62" i="8"/>
  <c r="L52" i="8"/>
  <c r="H52" i="8"/>
  <c r="G52" i="8"/>
  <c r="AA52" i="8"/>
  <c r="I52" i="8"/>
  <c r="S62" i="8" l="1"/>
  <c r="M52" i="8"/>
  <c r="K65" i="8"/>
  <c r="J62" i="8"/>
  <c r="F63" i="8"/>
  <c r="L53" i="8"/>
  <c r="G53" i="8"/>
  <c r="H53" i="8"/>
  <c r="AA53" i="8"/>
  <c r="I53" i="8"/>
  <c r="S63" i="8" l="1"/>
  <c r="M53" i="8"/>
  <c r="J63" i="8"/>
  <c r="K66" i="8"/>
  <c r="F64" i="8"/>
  <c r="I54" i="8"/>
  <c r="AA54" i="8"/>
  <c r="L54" i="8"/>
  <c r="M54" i="8" s="1"/>
  <c r="H54" i="8"/>
  <c r="G54" i="8"/>
  <c r="S64" i="8" l="1"/>
  <c r="J64" i="8"/>
  <c r="K67" i="8"/>
  <c r="F65" i="8"/>
  <c r="G55" i="8"/>
  <c r="L55" i="8"/>
  <c r="AA55" i="8"/>
  <c r="H55" i="8"/>
  <c r="I55" i="8"/>
  <c r="S65" i="8" l="1"/>
  <c r="M55" i="8"/>
  <c r="K68" i="8"/>
  <c r="J65" i="8"/>
  <c r="F66" i="8"/>
  <c r="AA56" i="8"/>
  <c r="G56" i="8"/>
  <c r="I56" i="8"/>
  <c r="H56" i="8"/>
  <c r="L56" i="8"/>
  <c r="S66" i="8" l="1"/>
  <c r="M56" i="8"/>
  <c r="J66" i="8"/>
  <c r="K69" i="8"/>
  <c r="F67" i="8"/>
  <c r="I57" i="8"/>
  <c r="AA57" i="8"/>
  <c r="L57" i="8"/>
  <c r="M57" i="8" s="1"/>
  <c r="H57" i="8"/>
  <c r="G57" i="8"/>
  <c r="S67" i="8" l="1"/>
  <c r="J67" i="8"/>
  <c r="K70" i="8"/>
  <c r="F68" i="8"/>
  <c r="I58" i="8"/>
  <c r="L58" i="8"/>
  <c r="H58" i="8"/>
  <c r="G58" i="8"/>
  <c r="AA58" i="8"/>
  <c r="S68" i="8" l="1"/>
  <c r="M58" i="8"/>
  <c r="J68" i="8"/>
  <c r="K71" i="8"/>
  <c r="F69" i="8"/>
  <c r="I59" i="8"/>
  <c r="H59" i="8"/>
  <c r="AA59" i="8"/>
  <c r="L59" i="8"/>
  <c r="G59" i="8"/>
  <c r="S69" i="8" l="1"/>
  <c r="M59" i="8"/>
  <c r="K72" i="8"/>
  <c r="J69" i="8"/>
  <c r="F70" i="8"/>
  <c r="I60" i="8"/>
  <c r="AA60" i="8"/>
  <c r="G60" i="8"/>
  <c r="H60" i="8"/>
  <c r="L60" i="8"/>
  <c r="S70" i="8" l="1"/>
  <c r="M60" i="8"/>
  <c r="J70" i="8"/>
  <c r="K73" i="8"/>
  <c r="F71" i="8"/>
  <c r="AA61" i="8"/>
  <c r="G61" i="8"/>
  <c r="H61" i="8"/>
  <c r="I61" i="8"/>
  <c r="L61" i="8"/>
  <c r="S71" i="8" l="1"/>
  <c r="M61" i="8"/>
  <c r="J71" i="8"/>
  <c r="K74" i="8"/>
  <c r="F72" i="8"/>
  <c r="L62" i="8"/>
  <c r="AA62" i="8"/>
  <c r="I62" i="8"/>
  <c r="G62" i="8"/>
  <c r="H62" i="8"/>
  <c r="S72" i="8" l="1"/>
  <c r="M62" i="8"/>
  <c r="J72" i="8"/>
  <c r="K75" i="8"/>
  <c r="F73" i="8"/>
  <c r="H63" i="8"/>
  <c r="L63" i="8"/>
  <c r="G63" i="8"/>
  <c r="I63" i="8"/>
  <c r="AA63" i="8"/>
  <c r="S73" i="8" l="1"/>
  <c r="M63" i="8"/>
  <c r="J73" i="8"/>
  <c r="K76" i="8"/>
  <c r="F74" i="8"/>
  <c r="G64" i="8"/>
  <c r="L64" i="8"/>
  <c r="H64" i="8"/>
  <c r="AA64" i="8"/>
  <c r="I64" i="8"/>
  <c r="S74" i="8" l="1"/>
  <c r="M64" i="8"/>
  <c r="J74" i="8"/>
  <c r="K77" i="8"/>
  <c r="F75" i="8"/>
  <c r="L65" i="8"/>
  <c r="G65" i="8"/>
  <c r="H65" i="8"/>
  <c r="I65" i="8"/>
  <c r="AA65" i="8"/>
  <c r="S75" i="8" l="1"/>
  <c r="M65" i="8"/>
  <c r="K78" i="8"/>
  <c r="J75" i="8"/>
  <c r="F76" i="8"/>
  <c r="G66" i="8"/>
  <c r="H66" i="8"/>
  <c r="I66" i="8"/>
  <c r="AA66" i="8"/>
  <c r="L66" i="8"/>
  <c r="S76" i="8" l="1"/>
  <c r="M66" i="8"/>
  <c r="J76" i="8"/>
  <c r="K79" i="8"/>
  <c r="F77" i="8"/>
  <c r="AA67" i="8"/>
  <c r="I67" i="8"/>
  <c r="G67" i="8"/>
  <c r="H67" i="8"/>
  <c r="L67" i="8"/>
  <c r="S77" i="8" l="1"/>
  <c r="M67" i="8"/>
  <c r="K80" i="8"/>
  <c r="J77" i="8"/>
  <c r="F78" i="8"/>
  <c r="H68" i="8"/>
  <c r="I68" i="8"/>
  <c r="AA68" i="8"/>
  <c r="L68" i="8"/>
  <c r="G68" i="8"/>
  <c r="S78" i="8" l="1"/>
  <c r="M68" i="8"/>
  <c r="J78" i="8"/>
  <c r="K81" i="8"/>
  <c r="F79" i="8"/>
  <c r="H69" i="8"/>
  <c r="L69" i="8"/>
  <c r="G69" i="8"/>
  <c r="I69" i="8"/>
  <c r="AA69" i="8"/>
  <c r="S79" i="8" l="1"/>
  <c r="M69" i="8"/>
  <c r="J79" i="8"/>
  <c r="K82" i="8"/>
  <c r="F80" i="8"/>
  <c r="G70" i="8"/>
  <c r="H70" i="8"/>
  <c r="L70" i="8"/>
  <c r="I70" i="8"/>
  <c r="AA70" i="8"/>
  <c r="M70" i="8" l="1"/>
  <c r="S80" i="8"/>
  <c r="K83" i="8"/>
  <c r="J80" i="8"/>
  <c r="F81" i="8"/>
  <c r="G71" i="8"/>
  <c r="L71" i="8"/>
  <c r="AA71" i="8"/>
  <c r="I71" i="8"/>
  <c r="H71" i="8"/>
  <c r="M71" i="8" l="1"/>
  <c r="S81" i="8"/>
  <c r="J81" i="8"/>
  <c r="K84" i="8"/>
  <c r="F82" i="8"/>
  <c r="H72" i="8"/>
  <c r="AA72" i="8"/>
  <c r="L72" i="8"/>
  <c r="I72" i="8"/>
  <c r="G72" i="8"/>
  <c r="M72" i="8" l="1"/>
  <c r="S82" i="8"/>
  <c r="J82" i="8"/>
  <c r="K85" i="8"/>
  <c r="F83" i="8"/>
  <c r="H73" i="8"/>
  <c r="L73" i="8"/>
  <c r="I73" i="8"/>
  <c r="G73" i="8"/>
  <c r="AA73" i="8"/>
  <c r="M73" i="8" l="1"/>
  <c r="S83" i="8"/>
  <c r="K86" i="8"/>
  <c r="J83" i="8"/>
  <c r="F84" i="8"/>
  <c r="I74" i="8"/>
  <c r="H74" i="8"/>
  <c r="AA74" i="8"/>
  <c r="L74" i="8"/>
  <c r="G74" i="8"/>
  <c r="M74" i="8" l="1"/>
  <c r="S84" i="8"/>
  <c r="J84" i="8"/>
  <c r="K87" i="8"/>
  <c r="F85" i="8"/>
  <c r="AA75" i="8"/>
  <c r="G75" i="8"/>
  <c r="L75" i="8"/>
  <c r="H75" i="8"/>
  <c r="I75" i="8"/>
  <c r="S85" i="8" l="1"/>
  <c r="M75" i="8"/>
  <c r="K88" i="8"/>
  <c r="J85" i="8"/>
  <c r="F86" i="8"/>
  <c r="AA76" i="8"/>
  <c r="G76" i="8"/>
  <c r="L76" i="8"/>
  <c r="H76" i="8"/>
  <c r="I76" i="8"/>
  <c r="M76" i="8" l="1"/>
  <c r="S86" i="8"/>
  <c r="J86" i="8"/>
  <c r="K89" i="8"/>
  <c r="F87" i="8"/>
  <c r="H77" i="8"/>
  <c r="L77" i="8"/>
  <c r="I77" i="8"/>
  <c r="G77" i="8"/>
  <c r="AA77" i="8"/>
  <c r="S87" i="8" l="1"/>
  <c r="M77" i="8"/>
  <c r="K90" i="8"/>
  <c r="J87" i="8"/>
  <c r="F88" i="8"/>
  <c r="G78" i="8"/>
  <c r="AA78" i="8"/>
  <c r="I78" i="8"/>
  <c r="L78" i="8"/>
  <c r="H78" i="8"/>
  <c r="S88" i="8" l="1"/>
  <c r="M78" i="8"/>
  <c r="J88" i="8"/>
  <c r="K91" i="8"/>
  <c r="F89" i="8"/>
  <c r="L79" i="8"/>
  <c r="I79" i="8"/>
  <c r="G79" i="8"/>
  <c r="H79" i="8"/>
  <c r="AA79" i="8"/>
  <c r="S89" i="8" l="1"/>
  <c r="M79" i="8"/>
  <c r="K92" i="8"/>
  <c r="J89" i="8"/>
  <c r="F90" i="8"/>
  <c r="AA80" i="8"/>
  <c r="I80" i="8"/>
  <c r="H80" i="8"/>
  <c r="L80" i="8"/>
  <c r="G80" i="8"/>
  <c r="S90" i="8" l="1"/>
  <c r="M80" i="8"/>
  <c r="J90" i="8"/>
  <c r="K93" i="8"/>
  <c r="F91" i="8"/>
  <c r="G81" i="8"/>
  <c r="AA81" i="8"/>
  <c r="L81" i="8"/>
  <c r="H81" i="8"/>
  <c r="I81" i="8"/>
  <c r="S91" i="8" l="1"/>
  <c r="M81" i="8"/>
  <c r="J91" i="8"/>
  <c r="K94" i="8"/>
  <c r="F92" i="8"/>
  <c r="AA82" i="8"/>
  <c r="H82" i="8"/>
  <c r="G82" i="8"/>
  <c r="I82" i="8"/>
  <c r="L82" i="8"/>
  <c r="S92" i="8" l="1"/>
  <c r="M82" i="8"/>
  <c r="J92" i="8"/>
  <c r="K95" i="8"/>
  <c r="F93" i="8"/>
  <c r="I83" i="8"/>
  <c r="AA83" i="8"/>
  <c r="H83" i="8"/>
  <c r="G83" i="8"/>
  <c r="L83" i="8"/>
  <c r="S93" i="8" l="1"/>
  <c r="M83" i="8"/>
  <c r="J93" i="8"/>
  <c r="K96" i="8"/>
  <c r="F94" i="8"/>
  <c r="L84" i="8"/>
  <c r="AA84" i="8"/>
  <c r="I84" i="8"/>
  <c r="G84" i="8"/>
  <c r="H84" i="8"/>
  <c r="S94" i="8" l="1"/>
  <c r="M84" i="8"/>
  <c r="K97" i="8"/>
  <c r="J94" i="8"/>
  <c r="F95" i="8"/>
  <c r="AA85" i="8"/>
  <c r="I85" i="8"/>
  <c r="H85" i="8"/>
  <c r="L85" i="8"/>
  <c r="M85" i="8" s="1"/>
  <c r="G85" i="8"/>
  <c r="S95" i="8" l="1"/>
  <c r="J95" i="8"/>
  <c r="K98" i="8"/>
  <c r="F96" i="8"/>
  <c r="AA86" i="8"/>
  <c r="L86" i="8"/>
  <c r="M86" i="8" s="1"/>
  <c r="G86" i="8"/>
  <c r="H86" i="8"/>
  <c r="I86" i="8"/>
  <c r="S96" i="8" l="1"/>
  <c r="J96" i="8"/>
  <c r="K99" i="8"/>
  <c r="F97" i="8"/>
  <c r="I87" i="8"/>
  <c r="G87" i="8"/>
  <c r="AA87" i="8"/>
  <c r="L87" i="8"/>
  <c r="M87" i="8" s="1"/>
  <c r="H87" i="8"/>
  <c r="S97" i="8" l="1"/>
  <c r="J97" i="8"/>
  <c r="K100" i="8"/>
  <c r="F98" i="8"/>
  <c r="AA88" i="8"/>
  <c r="L88" i="8"/>
  <c r="M88" i="8" s="1"/>
  <c r="G88" i="8"/>
  <c r="I88" i="8"/>
  <c r="H88" i="8"/>
  <c r="S98" i="8" l="1"/>
  <c r="K101" i="8"/>
  <c r="J98" i="8"/>
  <c r="F99" i="8"/>
  <c r="G89" i="8"/>
  <c r="L89" i="8"/>
  <c r="M89" i="8" s="1"/>
  <c r="AA89" i="8"/>
  <c r="H89" i="8"/>
  <c r="I89" i="8"/>
  <c r="S99" i="8" l="1"/>
  <c r="M90" i="8"/>
  <c r="J99" i="8"/>
  <c r="K102" i="8"/>
  <c r="F100" i="8"/>
  <c r="AA90" i="8"/>
  <c r="G90" i="8"/>
  <c r="I90" i="8"/>
  <c r="H90" i="8"/>
  <c r="L90" i="8"/>
  <c r="S100" i="8" l="1"/>
  <c r="J100" i="8"/>
  <c r="K103" i="8"/>
  <c r="F101" i="8"/>
  <c r="L91" i="8"/>
  <c r="G91" i="8"/>
  <c r="I91" i="8"/>
  <c r="AA91" i="8"/>
  <c r="H91" i="8"/>
  <c r="S101" i="8" l="1"/>
  <c r="M91" i="8"/>
  <c r="J101" i="8"/>
  <c r="K104" i="8"/>
  <c r="F102" i="8"/>
  <c r="L92" i="8"/>
  <c r="I92" i="8"/>
  <c r="AA92" i="8"/>
  <c r="G92" i="8"/>
  <c r="H92" i="8"/>
  <c r="S102" i="8" l="1"/>
  <c r="M92" i="8"/>
  <c r="J102" i="8"/>
  <c r="K105" i="8"/>
  <c r="F103" i="8"/>
  <c r="L93" i="8"/>
  <c r="G93" i="8"/>
  <c r="AA93" i="8"/>
  <c r="I93" i="8"/>
  <c r="H93" i="8"/>
  <c r="S103" i="8" l="1"/>
  <c r="M93" i="8"/>
  <c r="J103" i="8"/>
  <c r="K106" i="8"/>
  <c r="F104" i="8"/>
  <c r="G94" i="8"/>
  <c r="H94" i="8"/>
  <c r="AA94" i="8"/>
  <c r="I94" i="8"/>
  <c r="L94" i="8"/>
  <c r="S104" i="8" l="1"/>
  <c r="M94" i="8"/>
  <c r="J104" i="8"/>
  <c r="K107" i="8"/>
  <c r="F105" i="8"/>
  <c r="H95" i="8"/>
  <c r="AA95" i="8"/>
  <c r="I95" i="8"/>
  <c r="L95" i="8"/>
  <c r="M95" i="8" s="1"/>
  <c r="G95" i="8"/>
  <c r="S105" i="8" l="1"/>
  <c r="K108" i="8"/>
  <c r="J105" i="8"/>
  <c r="F106" i="8"/>
  <c r="AA96" i="8"/>
  <c r="I96" i="8"/>
  <c r="L96" i="8"/>
  <c r="G96" i="8"/>
  <c r="H96" i="8"/>
  <c r="S106" i="8" l="1"/>
  <c r="M96" i="8"/>
  <c r="J106" i="8"/>
  <c r="K109" i="8"/>
  <c r="F107" i="8"/>
  <c r="G97" i="8"/>
  <c r="AA97" i="8"/>
  <c r="L97" i="8"/>
  <c r="H97" i="8"/>
  <c r="I97" i="8"/>
  <c r="S107" i="8" l="1"/>
  <c r="M97" i="8"/>
  <c r="J107" i="8"/>
  <c r="K110" i="8"/>
  <c r="F108" i="8"/>
  <c r="L98" i="8"/>
  <c r="M98" i="8" s="1"/>
  <c r="G98" i="8"/>
  <c r="H98" i="8"/>
  <c r="I98" i="8"/>
  <c r="AA98" i="8"/>
  <c r="S108" i="8" l="1"/>
  <c r="J108" i="8"/>
  <c r="K111" i="8"/>
  <c r="F109" i="8"/>
  <c r="L99" i="8"/>
  <c r="I99" i="8"/>
  <c r="H99" i="8"/>
  <c r="G99" i="8"/>
  <c r="AA99" i="8"/>
  <c r="S109" i="8" l="1"/>
  <c r="M99" i="8"/>
  <c r="J109" i="8"/>
  <c r="K112" i="8"/>
  <c r="F110" i="8"/>
  <c r="L100" i="8"/>
  <c r="I100" i="8"/>
  <c r="AA100" i="8"/>
  <c r="G100" i="8"/>
  <c r="H100" i="8"/>
  <c r="S110" i="8" l="1"/>
  <c r="M100" i="8"/>
  <c r="K113" i="8"/>
  <c r="J110" i="8"/>
  <c r="F111" i="8"/>
  <c r="G101" i="8"/>
  <c r="L101" i="8"/>
  <c r="I101" i="8"/>
  <c r="H101" i="8"/>
  <c r="AA101" i="8"/>
  <c r="S111" i="8" l="1"/>
  <c r="M101" i="8"/>
  <c r="J111" i="8"/>
  <c r="K114" i="8"/>
  <c r="F112" i="8"/>
  <c r="AA102" i="8"/>
  <c r="G102" i="8"/>
  <c r="H102" i="8"/>
  <c r="I102" i="8"/>
  <c r="L102" i="8"/>
  <c r="S112" i="8" l="1"/>
  <c r="M102" i="8"/>
  <c r="J112" i="8"/>
  <c r="K115" i="8"/>
  <c r="F113" i="8"/>
  <c r="L103" i="8"/>
  <c r="I103" i="8"/>
  <c r="G103" i="8"/>
  <c r="H103" i="8"/>
  <c r="AA103" i="8"/>
  <c r="S113" i="8" l="1"/>
  <c r="M103" i="8"/>
  <c r="J113" i="8"/>
  <c r="K116" i="8"/>
  <c r="F114" i="8"/>
  <c r="AA104" i="8"/>
  <c r="G104" i="8"/>
  <c r="H104" i="8"/>
  <c r="I104" i="8"/>
  <c r="L104" i="8"/>
  <c r="S114" i="8" l="1"/>
  <c r="M104" i="8"/>
  <c r="J114" i="8"/>
  <c r="K117" i="8"/>
  <c r="F115" i="8"/>
  <c r="I105" i="8"/>
  <c r="G105" i="8"/>
  <c r="AA105" i="8"/>
  <c r="H105" i="8"/>
  <c r="L105" i="8"/>
  <c r="S115" i="8" l="1"/>
  <c r="M105" i="8"/>
  <c r="J115" i="8"/>
  <c r="K118" i="8"/>
  <c r="F116" i="8"/>
  <c r="G106" i="8"/>
  <c r="L106" i="8"/>
  <c r="H106" i="8"/>
  <c r="I106" i="8"/>
  <c r="AA106" i="8"/>
  <c r="S116" i="8" l="1"/>
  <c r="M106" i="8"/>
  <c r="J116" i="8"/>
  <c r="K119" i="8"/>
  <c r="F117" i="8"/>
  <c r="H107" i="8"/>
  <c r="I107" i="8"/>
  <c r="L107" i="8"/>
  <c r="G107" i="8"/>
  <c r="AA107" i="8"/>
  <c r="S117" i="8" l="1"/>
  <c r="M107" i="8"/>
  <c r="K120" i="8"/>
  <c r="J117" i="8"/>
  <c r="F118" i="8"/>
  <c r="I108" i="8"/>
  <c r="H108" i="8"/>
  <c r="AA108" i="8"/>
  <c r="G108" i="8"/>
  <c r="L108" i="8"/>
  <c r="M108" i="8" s="1"/>
  <c r="S118" i="8" l="1"/>
  <c r="J118" i="8"/>
  <c r="K121" i="8"/>
  <c r="F119" i="8"/>
  <c r="H109" i="8"/>
  <c r="AA109" i="8"/>
  <c r="G109" i="8"/>
  <c r="L109" i="8"/>
  <c r="I109" i="8"/>
  <c r="S119" i="8" l="1"/>
  <c r="M109" i="8"/>
  <c r="K122" i="8"/>
  <c r="J119" i="8"/>
  <c r="F120" i="8"/>
  <c r="AA110" i="8"/>
  <c r="G110" i="8"/>
  <c r="H110" i="8"/>
  <c r="L110" i="8"/>
  <c r="I110" i="8"/>
  <c r="S120" i="8" l="1"/>
  <c r="M110" i="8"/>
  <c r="J120" i="8"/>
  <c r="K123" i="8"/>
  <c r="F121" i="8"/>
  <c r="G111" i="8"/>
  <c r="L111" i="8"/>
  <c r="H111" i="8"/>
  <c r="I111" i="8"/>
  <c r="AA111" i="8"/>
  <c r="S121" i="8" l="1"/>
  <c r="M111" i="8"/>
  <c r="J121" i="8"/>
  <c r="K124" i="8"/>
  <c r="F122" i="8"/>
  <c r="H112" i="8"/>
  <c r="G112" i="8"/>
  <c r="I112" i="8"/>
  <c r="L112" i="8"/>
  <c r="AA112" i="8"/>
  <c r="S122" i="8" l="1"/>
  <c r="M112" i="8"/>
  <c r="J122" i="8"/>
  <c r="K125" i="8"/>
  <c r="F123" i="8"/>
  <c r="H113" i="8"/>
  <c r="G113" i="8"/>
  <c r="I113" i="8"/>
  <c r="L113" i="8"/>
  <c r="AA113" i="8"/>
  <c r="S123" i="8" l="1"/>
  <c r="M113" i="8"/>
  <c r="K126" i="8"/>
  <c r="J123" i="8"/>
  <c r="F124" i="8"/>
  <c r="G114" i="8"/>
  <c r="AA114" i="8"/>
  <c r="I114" i="8"/>
  <c r="H114" i="8"/>
  <c r="L114" i="8"/>
  <c r="M114" i="8" s="1"/>
  <c r="S124" i="8" l="1"/>
  <c r="J124" i="8"/>
  <c r="K127" i="8"/>
  <c r="F125" i="8"/>
  <c r="L115" i="8"/>
  <c r="G115" i="8"/>
  <c r="I115" i="8"/>
  <c r="AA115" i="8"/>
  <c r="H115" i="8"/>
  <c r="S125" i="8" l="1"/>
  <c r="M115" i="8"/>
  <c r="J125" i="8"/>
  <c r="K128" i="8"/>
  <c r="F126" i="8"/>
  <c r="H116" i="8"/>
  <c r="I116" i="8"/>
  <c r="G116" i="8"/>
  <c r="AA116" i="8"/>
  <c r="L116" i="8"/>
  <c r="S126" i="8" l="1"/>
  <c r="M116" i="8"/>
  <c r="J126" i="8"/>
  <c r="F127" i="8"/>
  <c r="G117" i="8"/>
  <c r="H117" i="8"/>
  <c r="AA117" i="8"/>
  <c r="L117" i="8"/>
  <c r="I117" i="8"/>
  <c r="S127" i="8" l="1"/>
  <c r="M117" i="8"/>
  <c r="J127" i="8"/>
  <c r="F128" i="8"/>
  <c r="G118" i="8"/>
  <c r="I118" i="8"/>
  <c r="AA118" i="8"/>
  <c r="L118" i="8"/>
  <c r="H118" i="8"/>
  <c r="S128" i="8" l="1"/>
  <c r="O23" i="5" s="1"/>
  <c r="F59" i="5"/>
  <c r="F57" i="5"/>
  <c r="F55" i="5"/>
  <c r="F54" i="5"/>
  <c r="F53" i="5"/>
  <c r="F52" i="5"/>
  <c r="O15" i="5" s="1"/>
  <c r="N52" i="5"/>
  <c r="N53" i="5"/>
  <c r="N54" i="5"/>
  <c r="F56" i="5"/>
  <c r="N55" i="5"/>
  <c r="N56" i="5"/>
  <c r="N57" i="5"/>
  <c r="N59" i="5"/>
  <c r="N61" i="5"/>
  <c r="N62" i="5"/>
  <c r="F63" i="5"/>
  <c r="F64" i="5"/>
  <c r="N64" i="5"/>
  <c r="M118" i="8"/>
  <c r="N60" i="5"/>
  <c r="N107" i="5"/>
  <c r="N104" i="5"/>
  <c r="N58" i="5"/>
  <c r="N97" i="5"/>
  <c r="N88" i="5"/>
  <c r="N90" i="5"/>
  <c r="N110" i="5"/>
  <c r="N84" i="5"/>
  <c r="N106" i="5"/>
  <c r="N72" i="5"/>
  <c r="N81" i="5"/>
  <c r="N75" i="5"/>
  <c r="N78" i="5"/>
  <c r="N92" i="5"/>
  <c r="N67" i="5"/>
  <c r="N105" i="5"/>
  <c r="N65" i="5"/>
  <c r="N80" i="5"/>
  <c r="N68" i="5"/>
  <c r="N89" i="5"/>
  <c r="N71" i="5"/>
  <c r="N95" i="5"/>
  <c r="N85" i="5"/>
  <c r="N93" i="5"/>
  <c r="N100" i="5"/>
  <c r="N103" i="5"/>
  <c r="N83" i="5"/>
  <c r="N86" i="5"/>
  <c r="N76" i="5"/>
  <c r="N77" i="5"/>
  <c r="N79" i="5"/>
  <c r="N96" i="5"/>
  <c r="N73" i="5"/>
  <c r="N94" i="5"/>
  <c r="N63" i="5"/>
  <c r="N108" i="5"/>
  <c r="N98" i="5"/>
  <c r="N66" i="5"/>
  <c r="N99" i="5"/>
  <c r="N91" i="5"/>
  <c r="N102" i="5"/>
  <c r="N87" i="5"/>
  <c r="N74" i="5"/>
  <c r="N82" i="5"/>
  <c r="N70" i="5"/>
  <c r="N111" i="5"/>
  <c r="N109" i="5"/>
  <c r="N101" i="5"/>
  <c r="N69" i="5"/>
  <c r="N112" i="5"/>
  <c r="N113" i="5"/>
  <c r="J128" i="8"/>
  <c r="AA119" i="8"/>
  <c r="L119" i="8"/>
  <c r="I119" i="8"/>
  <c r="G119" i="8"/>
  <c r="H119" i="8"/>
  <c r="N114" i="5" l="1"/>
  <c r="M119" i="8"/>
  <c r="F104" i="5"/>
  <c r="F98" i="5"/>
  <c r="F61" i="5"/>
  <c r="F83" i="5"/>
  <c r="F100" i="5"/>
  <c r="F58" i="5"/>
  <c r="F60" i="5"/>
  <c r="F62" i="5"/>
  <c r="F95" i="5"/>
  <c r="F107" i="5"/>
  <c r="F109" i="5"/>
  <c r="F86" i="5"/>
  <c r="F96" i="5"/>
  <c r="F92" i="5"/>
  <c r="F108" i="5"/>
  <c r="F87" i="5"/>
  <c r="F82" i="5"/>
  <c r="F75" i="5"/>
  <c r="F97" i="5"/>
  <c r="F101" i="5"/>
  <c r="F110" i="5"/>
  <c r="F73" i="5"/>
  <c r="F72" i="5"/>
  <c r="F91" i="5"/>
  <c r="F71" i="5"/>
  <c r="F85" i="5"/>
  <c r="F65" i="5"/>
  <c r="F80" i="5"/>
  <c r="F88" i="5"/>
  <c r="F69" i="5"/>
  <c r="F67" i="5"/>
  <c r="F77" i="5"/>
  <c r="F68" i="5"/>
  <c r="F106" i="5"/>
  <c r="F94" i="5"/>
  <c r="F105" i="5"/>
  <c r="F76" i="5"/>
  <c r="F93" i="5"/>
  <c r="F103" i="5"/>
  <c r="F78" i="5"/>
  <c r="F111" i="5"/>
  <c r="F74" i="5"/>
  <c r="F81" i="5"/>
  <c r="F79" i="5"/>
  <c r="F102" i="5"/>
  <c r="F84" i="5"/>
  <c r="F90" i="5"/>
  <c r="F70" i="5"/>
  <c r="F66" i="5"/>
  <c r="F99" i="5"/>
  <c r="F89" i="5"/>
  <c r="F113" i="5"/>
  <c r="F112" i="5"/>
  <c r="G120" i="8"/>
  <c r="L120" i="8"/>
  <c r="AA120" i="8"/>
  <c r="I120" i="8"/>
  <c r="H120" i="8"/>
  <c r="M120" i="8" l="1"/>
  <c r="AA121" i="8"/>
  <c r="G121" i="8"/>
  <c r="H121" i="8"/>
  <c r="L121" i="8"/>
  <c r="I121" i="8"/>
  <c r="M121" i="8" l="1"/>
  <c r="H122" i="8"/>
  <c r="G122" i="8"/>
  <c r="I122" i="8"/>
  <c r="AA122" i="8"/>
  <c r="L122" i="8"/>
  <c r="M122" i="8" s="1"/>
  <c r="AA123" i="8" l="1"/>
  <c r="H123" i="8"/>
  <c r="G123" i="8"/>
  <c r="I123" i="8"/>
  <c r="L123" i="8"/>
  <c r="M123" i="8" l="1"/>
  <c r="G124" i="8"/>
  <c r="L124" i="8"/>
  <c r="M124" i="8" s="1"/>
  <c r="AA124" i="8"/>
  <c r="H124" i="8"/>
  <c r="I124" i="8"/>
  <c r="L125" i="8" l="1"/>
  <c r="AA125" i="8"/>
  <c r="I125" i="8"/>
  <c r="H125" i="8"/>
  <c r="G125" i="8"/>
  <c r="M125" i="8" l="1"/>
  <c r="AA126" i="8"/>
  <c r="H126" i="8"/>
  <c r="G126" i="8"/>
  <c r="L126" i="8"/>
  <c r="M126" i="8" s="1"/>
  <c r="I126" i="8"/>
  <c r="G127" i="8" l="1"/>
  <c r="I127" i="8"/>
  <c r="H127" i="8"/>
  <c r="AA127" i="8"/>
  <c r="L127" i="8"/>
  <c r="M127" i="8" s="1"/>
  <c r="AA128" i="8" l="1"/>
  <c r="I128" i="8"/>
  <c r="L128" i="8"/>
  <c r="M128" i="8" s="1"/>
  <c r="H128" i="8"/>
  <c r="G128" i="8"/>
  <c r="R52" i="8" l="1"/>
  <c r="R8" i="8"/>
  <c r="R23" i="8"/>
  <c r="R51" i="8"/>
  <c r="R62" i="8"/>
  <c r="R65" i="8"/>
  <c r="R37" i="8"/>
  <c r="R13" i="8"/>
  <c r="R47" i="8"/>
  <c r="R25" i="8"/>
  <c r="R59" i="8"/>
  <c r="R41" i="8"/>
  <c r="R16" i="8"/>
  <c r="R12" i="8"/>
  <c r="R42" i="8"/>
  <c r="R18" i="8"/>
  <c r="R24" i="8"/>
  <c r="R35" i="8"/>
  <c r="R39" i="8"/>
  <c r="R63" i="8"/>
  <c r="R11" i="8"/>
  <c r="R64" i="8"/>
  <c r="R40" i="8"/>
  <c r="R10" i="8"/>
  <c r="R36" i="8"/>
  <c r="R66" i="8"/>
  <c r="R71" i="8"/>
  <c r="R72" i="8"/>
  <c r="R75" i="8"/>
  <c r="R76" i="8"/>
  <c r="R73" i="8"/>
  <c r="R74" i="8"/>
  <c r="R77" i="8"/>
  <c r="R78" i="8"/>
  <c r="R79" i="8"/>
  <c r="R81" i="8"/>
  <c r="R83" i="8"/>
  <c r="R85" i="8"/>
  <c r="R84" i="8"/>
  <c r="R90" i="8"/>
  <c r="R86" i="8"/>
  <c r="R88" i="8"/>
  <c r="R87" i="8"/>
  <c r="R89" i="8"/>
  <c r="R91" i="8"/>
  <c r="R94" i="8"/>
  <c r="R92" i="8"/>
  <c r="R93" i="8"/>
  <c r="R95" i="8"/>
  <c r="R96" i="8"/>
  <c r="R97" i="8"/>
  <c r="R102" i="8"/>
  <c r="R99" i="8"/>
  <c r="R100" i="8"/>
  <c r="R101" i="8"/>
  <c r="R98" i="8"/>
  <c r="R106" i="8"/>
  <c r="R103" i="8"/>
  <c r="R108" i="8"/>
  <c r="R104" i="8"/>
  <c r="R110" i="8"/>
  <c r="R109" i="8"/>
  <c r="R105" i="8"/>
  <c r="R111" i="8"/>
  <c r="R107" i="8"/>
  <c r="R112" i="8"/>
  <c r="R113" i="8"/>
  <c r="R114" i="8"/>
  <c r="R116" i="8"/>
  <c r="R115" i="8"/>
  <c r="R118" i="8"/>
  <c r="R117" i="8"/>
  <c r="R119" i="8"/>
  <c r="R120" i="8"/>
  <c r="R123" i="8"/>
  <c r="R121" i="8"/>
  <c r="R124" i="8"/>
  <c r="R122" i="8"/>
  <c r="R125" i="8"/>
  <c r="R127" i="8"/>
  <c r="R126" i="8"/>
  <c r="R61" i="8"/>
  <c r="R53" i="8"/>
  <c r="R38" i="8"/>
  <c r="R17" i="8"/>
  <c r="R128" i="8"/>
  <c r="R60" i="8"/>
  <c r="R48" i="8"/>
  <c r="R15" i="8"/>
  <c r="R50" i="8"/>
  <c r="R54" i="8"/>
  <c r="N1" i="8"/>
  <c r="N9" i="8" l="1"/>
  <c r="T8" i="8"/>
  <c r="Y9" i="8" l="1"/>
  <c r="P9" i="8"/>
  <c r="R9" i="8" s="1"/>
  <c r="Q9" i="8"/>
  <c r="N2" i="8"/>
  <c r="AB8" i="8"/>
  <c r="O9" i="8" l="1"/>
  <c r="T9" i="8" l="1"/>
  <c r="N10" i="8"/>
  <c r="AB9" i="8" l="1"/>
  <c r="Y10" i="8"/>
  <c r="Q10" i="8"/>
  <c r="P10" i="8"/>
  <c r="O10" i="8" l="1"/>
  <c r="N11" i="8" l="1"/>
  <c r="T10" i="8"/>
  <c r="G52" i="5" l="1"/>
  <c r="O9" i="5" s="1"/>
  <c r="P11" i="8"/>
  <c r="Q11" i="8"/>
  <c r="AB10" i="8"/>
  <c r="Y11" i="8"/>
  <c r="L52" i="5" l="1"/>
  <c r="J52" i="5"/>
  <c r="O11" i="8"/>
  <c r="H52" i="5" l="1"/>
  <c r="N12" i="8"/>
  <c r="T11" i="8"/>
  <c r="G53" i="5" l="1"/>
  <c r="O52" i="5"/>
  <c r="Q12" i="8"/>
  <c r="AB11" i="8"/>
  <c r="Y12" i="8"/>
  <c r="P12" i="8"/>
  <c r="J53" i="5" l="1"/>
  <c r="L53" i="5"/>
  <c r="O12" i="8"/>
  <c r="H53" i="5" l="1"/>
  <c r="N13" i="8"/>
  <c r="T12" i="8"/>
  <c r="G54" i="5" l="1"/>
  <c r="O53" i="5"/>
  <c r="Q13" i="8"/>
  <c r="AB12" i="8"/>
  <c r="Y13" i="8"/>
  <c r="P13" i="8"/>
  <c r="O13" i="5" l="1"/>
  <c r="J54" i="5"/>
  <c r="L54" i="5"/>
  <c r="O13" i="8"/>
  <c r="H54" i="5" l="1"/>
  <c r="N14" i="8"/>
  <c r="T13" i="8"/>
  <c r="O54" i="5" l="1"/>
  <c r="G55" i="5"/>
  <c r="AB13" i="8"/>
  <c r="Y14" i="8"/>
  <c r="P14" i="8"/>
  <c r="R14" i="8" s="1"/>
  <c r="Q14" i="8"/>
  <c r="J55" i="5" l="1"/>
  <c r="L55" i="5"/>
  <c r="O14" i="8"/>
  <c r="H55" i="5" l="1"/>
  <c r="N15" i="8"/>
  <c r="T14" i="8"/>
  <c r="O55" i="5" l="1"/>
  <c r="G56" i="5"/>
  <c r="P15" i="8"/>
  <c r="Y15" i="8"/>
  <c r="AB14" i="8"/>
  <c r="Q15" i="8"/>
  <c r="J56" i="5" l="1"/>
  <c r="L56" i="5"/>
  <c r="O15" i="8"/>
  <c r="H56" i="5" l="1"/>
  <c r="N16" i="8"/>
  <c r="T15" i="8"/>
  <c r="O56" i="5" l="1"/>
  <c r="G57" i="5"/>
  <c r="Y16" i="8"/>
  <c r="AB15" i="8"/>
  <c r="P16" i="8"/>
  <c r="Q16" i="8"/>
  <c r="L57" i="5" l="1"/>
  <c r="J57" i="5"/>
  <c r="O16" i="8"/>
  <c r="H57" i="5" l="1"/>
  <c r="N17" i="8"/>
  <c r="T16" i="8"/>
  <c r="O57" i="5" l="1"/>
  <c r="G58" i="5"/>
  <c r="Q17" i="8"/>
  <c r="Y17" i="8"/>
  <c r="P17" i="8"/>
  <c r="AB16" i="8"/>
  <c r="J58" i="5" l="1"/>
  <c r="L58" i="5"/>
  <c r="O17" i="8"/>
  <c r="H58" i="5" l="1"/>
  <c r="N18" i="8"/>
  <c r="T17" i="8"/>
  <c r="O58" i="5" l="1"/>
  <c r="G59" i="5"/>
  <c r="Y18" i="8"/>
  <c r="AB17" i="8"/>
  <c r="P18" i="8"/>
  <c r="Q18" i="8"/>
  <c r="J59" i="5" l="1"/>
  <c r="L59" i="5"/>
  <c r="O18" i="8"/>
  <c r="H59" i="5" l="1"/>
  <c r="N19" i="8"/>
  <c r="T18" i="8"/>
  <c r="O59" i="5" l="1"/>
  <c r="G60" i="5"/>
  <c r="AB18" i="8"/>
  <c r="P19" i="8"/>
  <c r="Y19" i="8"/>
  <c r="Q19" i="8"/>
  <c r="L60" i="5" l="1"/>
  <c r="J60" i="5"/>
  <c r="R19" i="8"/>
  <c r="O19" i="8" s="1"/>
  <c r="H60" i="5" l="1"/>
  <c r="N20" i="8"/>
  <c r="T19" i="8"/>
  <c r="O60" i="5" l="1"/>
  <c r="G61" i="5"/>
  <c r="Y20" i="8"/>
  <c r="AB19" i="8"/>
  <c r="P20" i="8"/>
  <c r="Q20" i="8"/>
  <c r="L61" i="5" l="1"/>
  <c r="J61" i="5"/>
  <c r="R20" i="8"/>
  <c r="O20" i="8" s="1"/>
  <c r="H61" i="5" l="1"/>
  <c r="N21" i="8"/>
  <c r="T20" i="8"/>
  <c r="O61" i="5" l="1"/>
  <c r="G62" i="5"/>
  <c r="P21" i="8"/>
  <c r="AB20" i="8"/>
  <c r="Y21" i="8"/>
  <c r="Q21" i="8"/>
  <c r="J62" i="5" l="1"/>
  <c r="L62" i="5"/>
  <c r="R21" i="8"/>
  <c r="O21" i="8" s="1"/>
  <c r="H62" i="5" l="1"/>
  <c r="N22" i="8"/>
  <c r="T21" i="8"/>
  <c r="O62" i="5" l="1"/>
  <c r="G63" i="5"/>
  <c r="Y22" i="8"/>
  <c r="AB21" i="8"/>
  <c r="Q22" i="8"/>
  <c r="P22" i="8"/>
  <c r="L63" i="5" l="1"/>
  <c r="J63" i="5"/>
  <c r="R22" i="8"/>
  <c r="O22" i="8" s="1"/>
  <c r="H63" i="5" l="1"/>
  <c r="N23" i="8"/>
  <c r="T22" i="8"/>
  <c r="G64" i="5" l="1"/>
  <c r="O63" i="5"/>
  <c r="Y23" i="8"/>
  <c r="AB22" i="8"/>
  <c r="Q23" i="8"/>
  <c r="P23" i="8"/>
  <c r="J64" i="5" l="1"/>
  <c r="L64" i="5"/>
  <c r="O23" i="8"/>
  <c r="H64" i="5" l="1"/>
  <c r="N24" i="8"/>
  <c r="T23" i="8"/>
  <c r="O64" i="5" l="1"/>
  <c r="G65" i="5"/>
  <c r="AB23" i="8"/>
  <c r="Y24" i="8"/>
  <c r="Q24" i="8"/>
  <c r="P24" i="8"/>
  <c r="J65" i="5" l="1"/>
  <c r="L65" i="5"/>
  <c r="O24" i="8"/>
  <c r="H65" i="5" l="1"/>
  <c r="N25" i="8"/>
  <c r="T24" i="8"/>
  <c r="O65" i="5" l="1"/>
  <c r="G66" i="5"/>
  <c r="P25" i="8"/>
  <c r="AB24" i="8"/>
  <c r="Q25" i="8"/>
  <c r="Y25" i="8"/>
  <c r="J66" i="5" l="1"/>
  <c r="L66" i="5"/>
  <c r="O25" i="8"/>
  <c r="H66" i="5" l="1"/>
  <c r="N26" i="8"/>
  <c r="T25" i="8"/>
  <c r="O66" i="5" l="1"/>
  <c r="G67" i="5"/>
  <c r="P26" i="8"/>
  <c r="AB25" i="8"/>
  <c r="Y26" i="8"/>
  <c r="Q26" i="8"/>
  <c r="J67" i="5" l="1"/>
  <c r="L67" i="5"/>
  <c r="R26" i="8"/>
  <c r="O26" i="8" s="1"/>
  <c r="H67" i="5" l="1"/>
  <c r="N27" i="8"/>
  <c r="T26" i="8"/>
  <c r="O67" i="5" l="1"/>
  <c r="G68" i="5"/>
  <c r="AB26" i="8"/>
  <c r="P27" i="8"/>
  <c r="Y27" i="8"/>
  <c r="Q27" i="8"/>
  <c r="L68" i="5" l="1"/>
  <c r="R27" i="8"/>
  <c r="O27" i="8" s="1"/>
  <c r="J68" i="5"/>
  <c r="H68" i="5" l="1"/>
  <c r="N28" i="8"/>
  <c r="T27" i="8"/>
  <c r="AD29" i="8"/>
  <c r="O68" i="5" l="1"/>
  <c r="G69" i="5"/>
  <c r="Q28" i="8"/>
  <c r="Y28" i="8"/>
  <c r="P28" i="8"/>
  <c r="AB27" i="8"/>
  <c r="L69" i="5" l="1"/>
  <c r="J69" i="5"/>
  <c r="R28" i="8"/>
  <c r="O28" i="8" s="1"/>
  <c r="H69" i="5" l="1"/>
  <c r="N29" i="8"/>
  <c r="T28" i="8"/>
  <c r="G70" i="5" l="1"/>
  <c r="O69" i="5"/>
  <c r="AB28" i="8"/>
  <c r="Q29" i="8"/>
  <c r="P29" i="8"/>
  <c r="Y29" i="8"/>
  <c r="J70" i="5" l="1"/>
  <c r="L70" i="5"/>
  <c r="R29" i="8"/>
  <c r="O29" i="8" s="1"/>
  <c r="H70" i="5" l="1"/>
  <c r="N30" i="8"/>
  <c r="T29" i="8"/>
  <c r="G71" i="5" l="1"/>
  <c r="O70" i="5"/>
  <c r="AB29" i="8"/>
  <c r="P30" i="8"/>
  <c r="Y30" i="8"/>
  <c r="Q30" i="8"/>
  <c r="L71" i="5" l="1"/>
  <c r="J71" i="5"/>
  <c r="R30" i="8"/>
  <c r="O30" i="8" s="1"/>
  <c r="H71" i="5" l="1"/>
  <c r="N31" i="8"/>
  <c r="T30" i="8"/>
  <c r="G72" i="5" l="1"/>
  <c r="O71" i="5"/>
  <c r="AB30" i="8"/>
  <c r="Y31" i="8"/>
  <c r="Q31" i="8"/>
  <c r="P31" i="8"/>
  <c r="L72" i="5" l="1"/>
  <c r="J72" i="5"/>
  <c r="R31" i="8"/>
  <c r="O31" i="8" s="1"/>
  <c r="H72" i="5" l="1"/>
  <c r="T31" i="8"/>
  <c r="N32" i="8"/>
  <c r="G73" i="5" l="1"/>
  <c r="O72" i="5"/>
  <c r="Y32" i="8"/>
  <c r="AB31" i="8"/>
  <c r="Q32" i="8"/>
  <c r="P32" i="8"/>
  <c r="J73" i="5" l="1"/>
  <c r="L73" i="5"/>
  <c r="R32" i="8"/>
  <c r="O32" i="8" s="1"/>
  <c r="H73" i="5" l="1"/>
  <c r="T32" i="8"/>
  <c r="N33" i="8"/>
  <c r="G74" i="5" l="1"/>
  <c r="O73" i="5"/>
  <c r="Y33" i="8"/>
  <c r="AB32" i="8"/>
  <c r="Q33" i="8"/>
  <c r="P33" i="8"/>
  <c r="L74" i="5" l="1"/>
  <c r="J74" i="5"/>
  <c r="R33" i="8"/>
  <c r="O33" i="8" s="1"/>
  <c r="H74" i="5" l="1"/>
  <c r="N34" i="8"/>
  <c r="T33" i="8"/>
  <c r="O74" i="5" l="1"/>
  <c r="G75" i="5"/>
  <c r="AB33" i="8"/>
  <c r="Y34" i="8"/>
  <c r="P34" i="8"/>
  <c r="Q34" i="8"/>
  <c r="R34" i="8" l="1"/>
  <c r="O34" i="8" s="1"/>
  <c r="J75" i="5"/>
  <c r="L75" i="5"/>
  <c r="H75" i="5" l="1"/>
  <c r="N35" i="8"/>
  <c r="T34" i="8"/>
  <c r="O75" i="5" l="1"/>
  <c r="G76" i="5"/>
  <c r="Y35" i="8"/>
  <c r="AB34" i="8"/>
  <c r="Q35" i="8"/>
  <c r="P35" i="8"/>
  <c r="L76" i="5" l="1"/>
  <c r="J76" i="5"/>
  <c r="O35" i="8"/>
  <c r="H76" i="5" l="1"/>
  <c r="T35" i="8"/>
  <c r="N36" i="8"/>
  <c r="G77" i="5" l="1"/>
  <c r="Y36" i="8"/>
  <c r="AB35" i="8"/>
  <c r="Q36" i="8"/>
  <c r="P36" i="8"/>
  <c r="J77" i="5" l="1"/>
  <c r="L77" i="5"/>
  <c r="O36" i="8"/>
  <c r="N37" i="8" l="1"/>
  <c r="H77" i="5"/>
  <c r="T36" i="8"/>
  <c r="G78" i="5" l="1"/>
  <c r="Q37" i="8"/>
  <c r="L78" i="5" s="1"/>
  <c r="P37" i="8"/>
  <c r="AB36" i="8"/>
  <c r="Y37" i="8"/>
  <c r="O37" i="8" l="1"/>
  <c r="J78" i="5"/>
  <c r="H78" i="5" l="1"/>
  <c r="N38" i="8"/>
  <c r="T37" i="8"/>
  <c r="G79" i="5" l="1"/>
  <c r="AB37" i="8"/>
  <c r="P38" i="8"/>
  <c r="Q38" i="8"/>
  <c r="Y38" i="8"/>
  <c r="L79" i="5" l="1"/>
  <c r="J79" i="5"/>
  <c r="O38" i="8"/>
  <c r="N39" i="8" l="1"/>
  <c r="G80" i="5" s="1"/>
  <c r="H79" i="5"/>
  <c r="T38" i="8"/>
  <c r="P39" i="8" l="1"/>
  <c r="J80" i="5" s="1"/>
  <c r="Q39" i="8"/>
  <c r="L80" i="5" s="1"/>
  <c r="AB38" i="8"/>
  <c r="O39" i="8" l="1"/>
  <c r="H80" i="5" s="1"/>
  <c r="T39" i="8" l="1"/>
  <c r="AB39" i="8" s="1"/>
  <c r="N40" i="8"/>
  <c r="G81" i="5" s="1"/>
  <c r="P40" i="8" l="1"/>
  <c r="J81" i="5" s="1"/>
  <c r="Q40" i="8"/>
  <c r="L81" i="5" s="1"/>
  <c r="O40" i="8" l="1"/>
  <c r="H81" i="5" s="1"/>
  <c r="T40" i="8" l="1"/>
  <c r="AB40" i="8" s="1"/>
  <c r="N41" i="8"/>
  <c r="G82" i="5" s="1"/>
  <c r="P41" i="8" l="1"/>
  <c r="J82" i="5" s="1"/>
  <c r="Q41" i="8"/>
  <c r="L82" i="5" s="1"/>
  <c r="O41" i="8" l="1"/>
  <c r="H82" i="5" s="1"/>
  <c r="T41" i="8" l="1"/>
  <c r="AB41" i="8" s="1"/>
  <c r="N42" i="8"/>
  <c r="G83" i="5" s="1"/>
  <c r="Q42" i="8" l="1"/>
  <c r="L83" i="5" s="1"/>
  <c r="P42" i="8"/>
  <c r="J83" i="5" s="1"/>
  <c r="O42" i="8" l="1"/>
  <c r="H83" i="5" s="1"/>
  <c r="T42" i="8" l="1"/>
  <c r="AB42" i="8" s="1"/>
  <c r="N43" i="8"/>
  <c r="G84" i="5" s="1"/>
  <c r="P43" i="8" l="1"/>
  <c r="J84" i="5" s="1"/>
  <c r="Q43" i="8"/>
  <c r="L84" i="5" s="1"/>
  <c r="R43" i="8" l="1"/>
  <c r="O43" i="8" s="1"/>
  <c r="T43" i="8" l="1"/>
  <c r="AB43" i="8" s="1"/>
  <c r="H84" i="5"/>
  <c r="N44" i="8"/>
  <c r="G85" i="5" l="1"/>
  <c r="P44" i="8"/>
  <c r="Q44" i="8"/>
  <c r="L85" i="5" s="1"/>
  <c r="R44" i="8" l="1"/>
  <c r="O44" i="8" s="1"/>
  <c r="J85" i="5"/>
  <c r="N45" i="8" l="1"/>
  <c r="H85" i="5"/>
  <c r="T44" i="8"/>
  <c r="AB44" i="8" s="1"/>
  <c r="G86" i="5" l="1"/>
  <c r="Q45" i="8"/>
  <c r="L86" i="5" s="1"/>
  <c r="P45" i="8"/>
  <c r="J86" i="5" s="1"/>
  <c r="R45" i="8" l="1"/>
  <c r="O45" i="8" s="1"/>
  <c r="H86" i="5" s="1"/>
  <c r="T45" i="8" l="1"/>
  <c r="AB45" i="8" s="1"/>
  <c r="N46" i="8"/>
  <c r="G87" i="5" l="1"/>
  <c r="P46" i="8"/>
  <c r="Q46" i="8"/>
  <c r="L87" i="5" s="1"/>
  <c r="R46" i="8" l="1"/>
  <c r="O46" i="8" s="1"/>
  <c r="H87" i="5" s="1"/>
  <c r="J87" i="5"/>
  <c r="N47" i="8" l="1"/>
  <c r="G88" i="5" s="1"/>
  <c r="T46" i="8"/>
  <c r="AB46" i="8" s="1"/>
  <c r="P47" i="8" l="1"/>
  <c r="J88" i="5" s="1"/>
  <c r="Q47" i="8"/>
  <c r="L88" i="5" s="1"/>
  <c r="O47" i="8" l="1"/>
  <c r="H88" i="5" s="1"/>
  <c r="N48" i="8" l="1"/>
  <c r="G89" i="5" s="1"/>
  <c r="T47" i="8"/>
  <c r="AB47" i="8" s="1"/>
  <c r="P48" i="8" l="1"/>
  <c r="J89" i="5" s="1"/>
  <c r="Q48" i="8"/>
  <c r="L89" i="5" s="1"/>
  <c r="O48" i="8" l="1"/>
  <c r="H89" i="5" s="1"/>
  <c r="N49" i="8" l="1"/>
  <c r="T48" i="8"/>
  <c r="AB48" i="8" s="1"/>
  <c r="G90" i="5"/>
  <c r="P49" i="8" l="1"/>
  <c r="J90" i="5" s="1"/>
  <c r="Q49" i="8"/>
  <c r="L90" i="5" s="1"/>
  <c r="R49" i="8" l="1"/>
  <c r="O49" i="8" s="1"/>
  <c r="H90" i="5" s="1"/>
  <c r="N50" i="8" l="1"/>
  <c r="T49" i="8"/>
  <c r="AB49" i="8" s="1"/>
  <c r="G91" i="5"/>
  <c r="Q50" i="8" l="1"/>
  <c r="L91" i="5" s="1"/>
  <c r="P50" i="8"/>
  <c r="J91" i="5" s="1"/>
  <c r="O50" i="8" l="1"/>
  <c r="H91" i="5" s="1"/>
  <c r="T50" i="8" l="1"/>
  <c r="AB50" i="8" s="1"/>
  <c r="N51" i="8"/>
  <c r="G92" i="5" s="1"/>
  <c r="P51" i="8" l="1"/>
  <c r="J92" i="5" s="1"/>
  <c r="Q51" i="8"/>
  <c r="L92" i="5" s="1"/>
  <c r="O51" i="8" l="1"/>
  <c r="N52" i="8" s="1"/>
  <c r="H92" i="5" l="1"/>
  <c r="T51" i="8"/>
  <c r="AB51" i="8" s="1"/>
  <c r="G93" i="5"/>
  <c r="P52" i="8"/>
  <c r="Q52" i="8"/>
  <c r="L93" i="5" l="1"/>
  <c r="J93" i="5"/>
  <c r="O52" i="8"/>
  <c r="H93" i="5" l="1"/>
  <c r="N53" i="8"/>
  <c r="T52" i="8"/>
  <c r="AB52" i="8" l="1"/>
  <c r="G94" i="5"/>
  <c r="Q53" i="8"/>
  <c r="P53" i="8"/>
  <c r="J94" i="5" l="1"/>
  <c r="L94" i="5"/>
  <c r="O53" i="8"/>
  <c r="H94" i="5" l="1"/>
  <c r="T53" i="8"/>
  <c r="N54" i="8"/>
  <c r="AB53" i="8" l="1"/>
  <c r="G95" i="5"/>
  <c r="P54" i="8"/>
  <c r="Q54" i="8"/>
  <c r="L95" i="5" l="1"/>
  <c r="J95" i="5"/>
  <c r="O54" i="8"/>
  <c r="H95" i="5" l="1"/>
  <c r="T54" i="8"/>
  <c r="N55" i="8"/>
  <c r="AB54" i="8" l="1"/>
  <c r="G96" i="5"/>
  <c r="Q55" i="8"/>
  <c r="P55" i="8"/>
  <c r="R55" i="8" l="1"/>
  <c r="O55" i="8" s="1"/>
  <c r="J96" i="5"/>
  <c r="L96" i="5"/>
  <c r="H96" i="5" l="1"/>
  <c r="T55" i="8"/>
  <c r="N56" i="8"/>
  <c r="G97" i="5" l="1"/>
  <c r="AB55" i="8"/>
  <c r="P56" i="8"/>
  <c r="Q56" i="8"/>
  <c r="L97" i="5" l="1"/>
  <c r="J97" i="5"/>
  <c r="R56" i="8"/>
  <c r="O56" i="8" s="1"/>
  <c r="H97" i="5" l="1"/>
  <c r="T56" i="8"/>
  <c r="N57" i="8"/>
  <c r="AB56" i="8" l="1"/>
  <c r="P57" i="8"/>
  <c r="G98" i="5"/>
  <c r="Q57" i="8"/>
  <c r="R57" i="8" l="1"/>
  <c r="O57" i="8" s="1"/>
  <c r="L98" i="5"/>
  <c r="J98" i="5"/>
  <c r="H98" i="5" l="1"/>
  <c r="N58" i="8"/>
  <c r="T57" i="8"/>
  <c r="AB57" i="8" s="1"/>
  <c r="G99" i="5" l="1"/>
  <c r="Q58" i="8"/>
  <c r="P58" i="8"/>
  <c r="R58" i="8" l="1"/>
  <c r="O58" i="8" s="1"/>
  <c r="J99" i="5"/>
  <c r="L99" i="5"/>
  <c r="T58" i="8" l="1"/>
  <c r="AB58" i="8" s="1"/>
  <c r="H99" i="5"/>
  <c r="N59" i="8"/>
  <c r="P59" i="8" l="1"/>
  <c r="G100" i="5"/>
  <c r="Q59" i="8"/>
  <c r="O59" i="8" l="1"/>
  <c r="T59" i="8" s="1"/>
  <c r="AB59" i="8" s="1"/>
  <c r="L100" i="5"/>
  <c r="J100" i="5"/>
  <c r="N60" i="8" l="1"/>
  <c r="H100" i="5"/>
  <c r="G101" i="5" l="1"/>
  <c r="P60" i="8"/>
  <c r="Q60" i="8"/>
  <c r="L101" i="5" l="1"/>
  <c r="J101" i="5"/>
  <c r="O60" i="8"/>
  <c r="N61" i="8" l="1"/>
  <c r="H101" i="5"/>
  <c r="T60" i="8"/>
  <c r="AB60" i="8" s="1"/>
  <c r="G102" i="5" l="1"/>
  <c r="Q61" i="8"/>
  <c r="L102" i="5" s="1"/>
  <c r="P61" i="8"/>
  <c r="J102" i="5" l="1"/>
  <c r="O61" i="8"/>
  <c r="N62" i="8" l="1"/>
  <c r="H102" i="5"/>
  <c r="T61" i="8"/>
  <c r="AB61" i="8" s="1"/>
  <c r="G103" i="5" l="1"/>
  <c r="P62" i="8"/>
  <c r="Q62" i="8"/>
  <c r="L103" i="5" s="1"/>
  <c r="O62" i="8" l="1"/>
  <c r="J103" i="5"/>
  <c r="N63" i="8" l="1"/>
  <c r="H103" i="5"/>
  <c r="T62" i="8"/>
  <c r="AB62" i="8" s="1"/>
  <c r="G104" i="5" l="1"/>
  <c r="Q63" i="8"/>
  <c r="P63" i="8"/>
  <c r="O63" i="8" l="1"/>
  <c r="J104" i="5"/>
  <c r="L104" i="5"/>
  <c r="H104" i="5" l="1"/>
  <c r="T63" i="8"/>
  <c r="AB63" i="8" s="1"/>
  <c r="N64" i="8"/>
  <c r="P64" i="8" l="1"/>
  <c r="Q64" i="8"/>
  <c r="G105" i="5"/>
  <c r="L105" i="5" l="1"/>
  <c r="O64" i="8"/>
  <c r="J105" i="5"/>
  <c r="T64" i="8" l="1"/>
  <c r="AB64" i="8" s="1"/>
  <c r="H105" i="5"/>
  <c r="N65" i="8"/>
  <c r="P65" i="8" l="1"/>
  <c r="Q65" i="8"/>
  <c r="L106" i="5" s="1"/>
  <c r="G106" i="5"/>
  <c r="O65" i="8" l="1"/>
  <c r="J106" i="5"/>
  <c r="H106" i="5" l="1"/>
  <c r="T65" i="8"/>
  <c r="AB65" i="8" s="1"/>
  <c r="N66" i="8"/>
  <c r="G107" i="5" l="1"/>
  <c r="Q66" i="8"/>
  <c r="P66" i="8"/>
  <c r="O66" i="8" l="1"/>
  <c r="J107" i="5"/>
  <c r="L107" i="5"/>
  <c r="T66" i="8" l="1"/>
  <c r="AB66" i="8" s="1"/>
  <c r="H107" i="5"/>
  <c r="N67" i="8"/>
  <c r="Q67" i="8" l="1"/>
  <c r="P67" i="8"/>
  <c r="G108" i="5"/>
  <c r="R67" i="8" l="1"/>
  <c r="O67" i="8" s="1"/>
  <c r="J108" i="5"/>
  <c r="L108" i="5"/>
  <c r="T67" i="8" l="1"/>
  <c r="AB67" i="8" s="1"/>
  <c r="H108" i="5"/>
  <c r="N68" i="8"/>
  <c r="Q68" i="8" l="1"/>
  <c r="L109" i="5" s="1"/>
  <c r="P68" i="8"/>
  <c r="G109" i="5"/>
  <c r="R68" i="8" l="1"/>
  <c r="O68" i="8" s="1"/>
  <c r="J109" i="5"/>
  <c r="T68" i="8" l="1"/>
  <c r="AB68" i="8" s="1"/>
  <c r="H109" i="5"/>
  <c r="N69" i="8"/>
  <c r="P69" i="8" l="1"/>
  <c r="G110" i="5"/>
  <c r="Q69" i="8"/>
  <c r="J110" i="5" l="1"/>
  <c r="R69" i="8"/>
  <c r="O69" i="8" s="1"/>
  <c r="L110" i="5"/>
  <c r="N70" i="8" l="1"/>
  <c r="H110" i="5"/>
  <c r="T69" i="8"/>
  <c r="AB69" i="8" s="1"/>
  <c r="Q70" i="8" l="1"/>
  <c r="G111" i="5"/>
  <c r="P70" i="8"/>
  <c r="L111" i="5" l="1"/>
  <c r="J111" i="5"/>
  <c r="R70" i="8"/>
  <c r="O70" i="8" s="1"/>
  <c r="T70" i="8" l="1"/>
  <c r="AB70" i="8" s="1"/>
  <c r="H111" i="5"/>
  <c r="N71" i="8"/>
  <c r="G112" i="5" s="1"/>
  <c r="P71" i="8" l="1"/>
  <c r="J112" i="5" s="1"/>
  <c r="J114" i="5" s="1"/>
  <c r="Q71" i="8"/>
  <c r="L112" i="5" s="1"/>
  <c r="L114" i="5" s="1"/>
  <c r="O71" i="8" l="1"/>
  <c r="N72" i="8" l="1"/>
  <c r="G113" i="5" s="1"/>
  <c r="H112" i="5"/>
  <c r="H114" i="5" s="1"/>
  <c r="T71" i="8"/>
  <c r="AB71" i="8" s="1"/>
  <c r="P72" i="8" l="1"/>
  <c r="J113" i="5" s="1"/>
  <c r="Q72" i="8"/>
  <c r="L113" i="5" s="1"/>
  <c r="O72" i="8" l="1"/>
  <c r="T72" i="8" s="1"/>
  <c r="AB72" i="8" s="1"/>
  <c r="H113" i="5"/>
  <c r="N73" i="8" l="1"/>
  <c r="P73" i="8" s="1"/>
  <c r="Q73" i="8" l="1"/>
  <c r="O73" i="8" s="1"/>
  <c r="T73" i="8" s="1"/>
  <c r="AB73" i="8" s="1"/>
  <c r="N74" i="8" l="1"/>
  <c r="P74" i="8" s="1"/>
  <c r="Q74" i="8" l="1"/>
  <c r="O74" i="8" s="1"/>
  <c r="T74" i="8" s="1"/>
  <c r="AB74" i="8" s="1"/>
  <c r="N75" i="8" l="1"/>
  <c r="Q75" i="8" s="1"/>
  <c r="P75" i="8" l="1"/>
  <c r="O75" i="8" s="1"/>
  <c r="T75" i="8" s="1"/>
  <c r="AB75" i="8" s="1"/>
  <c r="N76" i="8" l="1"/>
  <c r="Q76" i="8" s="1"/>
  <c r="P76" i="8" l="1"/>
  <c r="O76" i="8" s="1"/>
  <c r="T76" i="8" s="1"/>
  <c r="AB76" i="8" s="1"/>
  <c r="N77" i="8" l="1"/>
  <c r="Q77" i="8" s="1"/>
  <c r="P77" i="8" l="1"/>
  <c r="O77" i="8" s="1"/>
  <c r="T77" i="8" s="1"/>
  <c r="AB77" i="8" s="1"/>
  <c r="N78" i="8" l="1"/>
  <c r="P78" i="8" s="1"/>
  <c r="Q78" i="8" l="1"/>
  <c r="O78" i="8" s="1"/>
  <c r="N79" i="8" s="1"/>
  <c r="Q79" i="8" s="1"/>
  <c r="T78" i="8" l="1"/>
  <c r="AB78" i="8" s="1"/>
  <c r="P79" i="8"/>
  <c r="O79" i="8" s="1"/>
  <c r="T79" i="8" s="1"/>
  <c r="AB79" i="8" s="1"/>
  <c r="N80" i="8" l="1"/>
  <c r="P80" i="8" s="1"/>
  <c r="Q80" i="8" l="1"/>
  <c r="R80" i="8"/>
  <c r="O80" i="8" l="1"/>
  <c r="T80" i="8" l="1"/>
  <c r="AB80" i="8" s="1"/>
  <c r="N81" i="8"/>
  <c r="P81" i="8" l="1"/>
  <c r="Q81" i="8"/>
  <c r="O81" i="8" l="1"/>
  <c r="T81" i="8" l="1"/>
  <c r="AB81" i="8" s="1"/>
  <c r="N82" i="8"/>
  <c r="P82" i="8" s="1"/>
  <c r="Q82" i="8" l="1"/>
  <c r="O82" i="8" s="1"/>
  <c r="R82" i="8"/>
  <c r="T82" i="8" l="1"/>
  <c r="AB82" i="8" s="1"/>
  <c r="N83" i="8"/>
  <c r="Q83" i="8" l="1"/>
  <c r="P83" i="8"/>
  <c r="O83" i="8" l="1"/>
  <c r="T83" i="8" s="1"/>
  <c r="AB83" i="8" s="1"/>
  <c r="N84" i="8" l="1"/>
  <c r="P84" i="8" s="1"/>
  <c r="Q84" i="8" l="1"/>
  <c r="O84" i="8" s="1"/>
  <c r="T84" i="8" s="1"/>
  <c r="AB84" i="8" s="1"/>
  <c r="N85" i="8" l="1"/>
  <c r="P85" i="8" s="1"/>
  <c r="Q85" i="8" l="1"/>
  <c r="O85" i="8" s="1"/>
  <c r="T85" i="8" l="1"/>
  <c r="AB85" i="8" s="1"/>
  <c r="N86" i="8"/>
  <c r="P86" i="8" l="1"/>
  <c r="Q86" i="8"/>
  <c r="O86" i="8" l="1"/>
  <c r="T86" i="8" l="1"/>
  <c r="AB86" i="8" s="1"/>
  <c r="N87" i="8"/>
  <c r="P87" i="8" l="1"/>
  <c r="Q87" i="8"/>
  <c r="O87" i="8" l="1"/>
  <c r="T87" i="8" s="1"/>
  <c r="AB87" i="8" s="1"/>
  <c r="N88" i="8" l="1"/>
  <c r="P88" i="8" s="1"/>
  <c r="Q88" i="8" l="1"/>
  <c r="O88" i="8" s="1"/>
  <c r="T88" i="8" s="1"/>
  <c r="AB88" i="8" s="1"/>
  <c r="N89" i="8" l="1"/>
  <c r="P89" i="8" s="1"/>
  <c r="Q89" i="8" l="1"/>
  <c r="O89" i="8" s="1"/>
  <c r="T89" i="8" l="1"/>
  <c r="AB89" i="8" s="1"/>
  <c r="N90" i="8"/>
  <c r="P90" i="8" s="1"/>
  <c r="Q90" i="8" l="1"/>
  <c r="O90" i="8" s="1"/>
  <c r="T90" i="8" l="1"/>
  <c r="AB90" i="8" s="1"/>
  <c r="N91" i="8"/>
  <c r="Q91" i="8" l="1"/>
  <c r="P91" i="8"/>
  <c r="O91" i="8" l="1"/>
  <c r="T91" i="8" l="1"/>
  <c r="AB91" i="8" s="1"/>
  <c r="N92" i="8"/>
  <c r="Q92" i="8" s="1"/>
  <c r="P92" i="8" l="1"/>
  <c r="O92" i="8" s="1"/>
  <c r="T92" i="8" l="1"/>
  <c r="AB92" i="8" s="1"/>
  <c r="N93" i="8"/>
  <c r="Q93" i="8" s="1"/>
  <c r="P93" i="8" l="1"/>
  <c r="O93" i="8" s="1"/>
  <c r="T93" i="8" s="1"/>
  <c r="AB93" i="8" s="1"/>
  <c r="N94" i="8" l="1"/>
  <c r="Q94" i="8" s="1"/>
  <c r="P94" i="8" l="1"/>
  <c r="O94" i="8" s="1"/>
  <c r="T94" i="8" s="1"/>
  <c r="AB94" i="8" s="1"/>
  <c r="N95" i="8" l="1"/>
  <c r="P95" i="8" s="1"/>
  <c r="Q95" i="8" l="1"/>
  <c r="O95" i="8" s="1"/>
  <c r="N96" i="8" s="1"/>
  <c r="P96" i="8" s="1"/>
  <c r="Q96" i="8" l="1"/>
  <c r="O96" i="8" s="1"/>
  <c r="T95" i="8"/>
  <c r="AB95" i="8" s="1"/>
  <c r="T96" i="8" l="1"/>
  <c r="AB96" i="8" s="1"/>
  <c r="N97" i="8"/>
  <c r="Q97" i="8" l="1"/>
  <c r="P97" i="8"/>
  <c r="O97" i="8" l="1"/>
  <c r="T97" i="8" s="1"/>
  <c r="AB97" i="8" s="1"/>
  <c r="N98" i="8" l="1"/>
  <c r="Q98" i="8" s="1"/>
  <c r="P98" i="8" l="1"/>
  <c r="O98" i="8" s="1"/>
  <c r="T98" i="8" s="1"/>
  <c r="AB98" i="8" s="1"/>
  <c r="N99" i="8" l="1"/>
  <c r="Q99" i="8" s="1"/>
  <c r="P99" i="8" l="1"/>
  <c r="O99" i="8" s="1"/>
  <c r="T99" i="8" s="1"/>
  <c r="AB99" i="8" s="1"/>
  <c r="N100" i="8" l="1"/>
  <c r="P100" i="8" s="1"/>
  <c r="Q100" i="8" l="1"/>
  <c r="O100" i="8" s="1"/>
  <c r="T100" i="8" l="1"/>
  <c r="AB100" i="8" s="1"/>
  <c r="N101" i="8"/>
  <c r="Q101" i="8" l="1"/>
  <c r="P101" i="8"/>
  <c r="O101" i="8" l="1"/>
  <c r="T101" i="8" s="1"/>
  <c r="AB101" i="8" s="1"/>
  <c r="N102" i="8" l="1"/>
  <c r="P102" i="8" s="1"/>
  <c r="Q102" i="8" l="1"/>
  <c r="O102" i="8" s="1"/>
  <c r="T102" i="8" s="1"/>
  <c r="AB102" i="8" s="1"/>
  <c r="N103" i="8" l="1"/>
  <c r="Q103" i="8" s="1"/>
  <c r="P103" i="8" l="1"/>
  <c r="O103" i="8" s="1"/>
  <c r="T103" i="8" s="1"/>
  <c r="AB103" i="8" s="1"/>
  <c r="N104" i="8" l="1"/>
  <c r="Q104" i="8" l="1"/>
  <c r="P104" i="8"/>
  <c r="O104" i="8" l="1"/>
  <c r="T104" i="8" s="1"/>
  <c r="AB104" i="8" s="1"/>
  <c r="N105" i="8" l="1"/>
  <c r="Q105" i="8" s="1"/>
  <c r="P105" i="8" l="1"/>
  <c r="O105" i="8" s="1"/>
  <c r="T105" i="8" s="1"/>
  <c r="AB105" i="8" s="1"/>
  <c r="N106" i="8" l="1"/>
  <c r="Q106" i="8" s="1"/>
  <c r="P106" i="8" l="1"/>
  <c r="O106" i="8" s="1"/>
  <c r="T106" i="8" s="1"/>
  <c r="AB106" i="8" s="1"/>
  <c r="N107" i="8" l="1"/>
  <c r="P107" i="8" s="1"/>
  <c r="Q107" i="8" l="1"/>
  <c r="O107" i="8" s="1"/>
  <c r="T107" i="8" s="1"/>
  <c r="AB107" i="8" s="1"/>
  <c r="N108" i="8" l="1"/>
  <c r="P108" i="8" s="1"/>
  <c r="Q108" i="8" l="1"/>
  <c r="O108" i="8" s="1"/>
  <c r="N109" i="8" s="1"/>
  <c r="T108" i="8" l="1"/>
  <c r="AB108" i="8" s="1"/>
  <c r="P109" i="8"/>
  <c r="Q109" i="8"/>
  <c r="O109" i="8" l="1"/>
  <c r="T109" i="8" l="1"/>
  <c r="AB109" i="8" s="1"/>
  <c r="N110" i="8"/>
  <c r="P110" i="8" l="1"/>
  <c r="Q110" i="8"/>
  <c r="O110" i="8" l="1"/>
  <c r="T110" i="8" s="1"/>
  <c r="AB110" i="8" s="1"/>
  <c r="N111" i="8" l="1"/>
  <c r="P111" i="8" l="1"/>
  <c r="Q111" i="8"/>
  <c r="O111" i="8" l="1"/>
  <c r="T111" i="8" l="1"/>
  <c r="AB111" i="8" s="1"/>
  <c r="N112" i="8"/>
  <c r="P112" i="8" l="1"/>
  <c r="Q112" i="8"/>
  <c r="O112" i="8" l="1"/>
  <c r="T112" i="8" l="1"/>
  <c r="AB112" i="8" s="1"/>
  <c r="N113" i="8"/>
  <c r="Q113" i="8" l="1"/>
  <c r="P113" i="8"/>
  <c r="O113" i="8" l="1"/>
  <c r="T113" i="8" s="1"/>
  <c r="AB113" i="8" s="1"/>
  <c r="N114" i="8" l="1"/>
  <c r="Q114" i="8" s="1"/>
  <c r="P114" i="8" l="1"/>
  <c r="O114" i="8" s="1"/>
  <c r="T114" i="8" s="1"/>
  <c r="AB114" i="8" s="1"/>
  <c r="N115" i="8" l="1"/>
  <c r="Q115" i="8" s="1"/>
  <c r="P115" i="8" l="1"/>
  <c r="O115" i="8" s="1"/>
  <c r="N116" i="8" s="1"/>
  <c r="Q116" i="8" s="1"/>
  <c r="P116" i="8" l="1"/>
  <c r="O116" i="8" s="1"/>
  <c r="T116" i="8" s="1"/>
  <c r="AB116" i="8" s="1"/>
  <c r="T115" i="8"/>
  <c r="AB115" i="8" s="1"/>
  <c r="N117" i="8" l="1"/>
  <c r="Q117" i="8" s="1"/>
  <c r="P117" i="8" l="1"/>
  <c r="O117" i="8" s="1"/>
  <c r="N118" i="8" s="1"/>
  <c r="P118" i="8" s="1"/>
  <c r="T117" i="8" l="1"/>
  <c r="AB117" i="8" s="1"/>
  <c r="Q118" i="8"/>
  <c r="O118" i="8" s="1"/>
  <c r="N119" i="8" s="1"/>
  <c r="T118" i="8" l="1"/>
  <c r="AB118" i="8" s="1"/>
  <c r="Q119" i="8"/>
  <c r="P119" i="8"/>
  <c r="O119" i="8" l="1"/>
  <c r="T119" i="8" l="1"/>
  <c r="AB119" i="8" s="1"/>
  <c r="N120" i="8"/>
  <c r="P120" i="8" l="1"/>
  <c r="Q120" i="8"/>
  <c r="O120" i="8" l="1"/>
  <c r="T120" i="8" s="1"/>
  <c r="AB120" i="8" s="1"/>
  <c r="N121" i="8" l="1"/>
  <c r="P121" i="8" s="1"/>
  <c r="Q121" i="8" l="1"/>
  <c r="O121" i="8" s="1"/>
  <c r="T121" i="8" s="1"/>
  <c r="AB121" i="8" s="1"/>
  <c r="N122" i="8" l="1"/>
  <c r="Q122" i="8" s="1"/>
  <c r="O78" i="5"/>
  <c r="O110" i="5"/>
  <c r="O94" i="5"/>
  <c r="O103" i="5"/>
  <c r="O108" i="5"/>
  <c r="O107" i="5"/>
  <c r="O109" i="5"/>
  <c r="O101" i="5"/>
  <c r="O90" i="5"/>
  <c r="O83" i="5"/>
  <c r="O111" i="5"/>
  <c r="O100" i="5"/>
  <c r="O92" i="5"/>
  <c r="O96" i="5"/>
  <c r="O84" i="5"/>
  <c r="O105" i="5"/>
  <c r="O97" i="5"/>
  <c r="O104" i="5"/>
  <c r="O98" i="5"/>
  <c r="O88" i="5"/>
  <c r="O87" i="5"/>
  <c r="O85" i="5"/>
  <c r="O76" i="5"/>
  <c r="O82" i="5"/>
  <c r="O106" i="5"/>
  <c r="O80" i="5"/>
  <c r="O95" i="5"/>
  <c r="O91" i="5"/>
  <c r="O79" i="5"/>
  <c r="O81" i="5"/>
  <c r="O77" i="5"/>
  <c r="O93" i="5"/>
  <c r="O89" i="5"/>
  <c r="O102" i="5"/>
  <c r="O86" i="5"/>
  <c r="O99" i="5"/>
  <c r="O113" i="5"/>
  <c r="O112" i="5"/>
  <c r="O114" i="5" l="1"/>
  <c r="P122" i="8"/>
  <c r="O122" i="8" s="1"/>
  <c r="T122" i="8" s="1"/>
  <c r="AB122" i="8" s="1"/>
  <c r="N123" i="8" l="1"/>
  <c r="P123" i="8" s="1"/>
  <c r="Q123" i="8" l="1"/>
  <c r="O123" i="8" s="1"/>
  <c r="T123" i="8" s="1"/>
  <c r="AB123" i="8" s="1"/>
  <c r="N124" i="8" l="1"/>
  <c r="Q124" i="8" s="1"/>
  <c r="P124" i="8" l="1"/>
  <c r="O124" i="8" s="1"/>
  <c r="T124" i="8" s="1"/>
  <c r="AB124" i="8" s="1"/>
  <c r="N125" i="8" l="1"/>
  <c r="Q125" i="8" s="1"/>
  <c r="P125" i="8" l="1"/>
  <c r="O125" i="8" s="1"/>
  <c r="T125" i="8" s="1"/>
  <c r="AB125" i="8" s="1"/>
  <c r="N126" i="8" l="1"/>
  <c r="Q126" i="8" s="1"/>
  <c r="P126" i="8" l="1"/>
  <c r="O126" i="8" s="1"/>
  <c r="N127" i="8" s="1"/>
  <c r="T126" i="8" l="1"/>
  <c r="AB126" i="8" s="1"/>
  <c r="Q127" i="8"/>
  <c r="P127" i="8"/>
  <c r="O127" i="8" l="1"/>
  <c r="T127" i="8" s="1"/>
  <c r="AB127" i="8" s="1"/>
  <c r="N128" i="8" l="1"/>
  <c r="P128" i="8" l="1"/>
  <c r="O19" i="5" s="1"/>
  <c r="AB7" i="8"/>
  <c r="Q128" i="8"/>
  <c r="O21" i="5" s="1"/>
  <c r="O128" i="8" l="1"/>
  <c r="O17" i="5" s="1"/>
  <c r="T128" i="8" l="1"/>
  <c r="AB128" i="8" s="1"/>
  <c r="AB6" i="8" s="1"/>
  <c r="AC6" i="8" s="1"/>
  <c r="C10" i="8" s="1"/>
  <c r="O11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<sst xmlns="http://schemas.openxmlformats.org/spreadsheetml/2006/main" count="187" uniqueCount="139">
  <si>
    <t>Input</t>
  </si>
  <si>
    <t>Output</t>
  </si>
  <si>
    <t>PRODUCTO</t>
  </si>
  <si>
    <t>Prestamo Personal</t>
  </si>
  <si>
    <t xml:space="preserve">51.03% TCEA máxima calculada considerando un monto de S/5000.00 a un plazo de 12 meses y cuotas mensuales de hasta S/517.29. Total de interés mínimo S/1,177.36 calculado considerando el rango de tasas de interés aplicable, conforme al tarifario vigente.
</t>
  </si>
  <si>
    <t>TIPO DE SEGURO</t>
  </si>
  <si>
    <t>3. Seguro de Desgravamen con Devolución</t>
  </si>
  <si>
    <t>PLAZO (MESES)</t>
  </si>
  <si>
    <t>SEGURO DE DESGRAVAMEN</t>
  </si>
  <si>
    <t>MONTO OFERTA</t>
  </si>
  <si>
    <t>CUOTA*(S/)</t>
  </si>
  <si>
    <t>FECHA DE DESEMBOLSO</t>
  </si>
  <si>
    <t>FECHA DE PAGO</t>
  </si>
  <si>
    <t>PERIODO DE GRACIA</t>
  </si>
  <si>
    <t>TEA</t>
  </si>
  <si>
    <t>SEGURO</t>
  </si>
  <si>
    <t>TED</t>
  </si>
  <si>
    <t>N°</t>
  </si>
  <si>
    <t>Fecha de Vencimiento</t>
  </si>
  <si>
    <t>N° días</t>
  </si>
  <si>
    <t>Capital</t>
  </si>
  <si>
    <t>Seguro de Desgravamen</t>
  </si>
  <si>
    <t>Amortización</t>
  </si>
  <si>
    <t>Interés</t>
  </si>
  <si>
    <t>Cuota</t>
  </si>
  <si>
    <t xml:space="preserve">N° </t>
  </si>
  <si>
    <t>inicio</t>
  </si>
  <si>
    <t>fin</t>
  </si>
  <si>
    <t>N° Días</t>
  </si>
  <si>
    <t>Seguro</t>
  </si>
  <si>
    <t>PP</t>
  </si>
  <si>
    <t>EECC</t>
  </si>
  <si>
    <t>SIMULADOR DE PRÉSTAMOS PERSONALES INTERBANK</t>
  </si>
  <si>
    <t>DATOS DE SOLICITUD</t>
  </si>
  <si>
    <t>DEL PRÉSTAMO</t>
  </si>
  <si>
    <t>MONEDA</t>
  </si>
  <si>
    <t>SOLES</t>
  </si>
  <si>
    <t>MONTO A FINANCIAR</t>
  </si>
  <si>
    <t>TCEA</t>
  </si>
  <si>
    <t>MONTO A DESEMBOLSAR</t>
  </si>
  <si>
    <t>CUOTA</t>
  </si>
  <si>
    <t>PLAZO</t>
  </si>
  <si>
    <t>PRIMERA FECHA DE PAGO</t>
  </si>
  <si>
    <t>TEA (1)</t>
  </si>
  <si>
    <t>TOTAL AMORTIZACIÓN</t>
  </si>
  <si>
    <t>TOTAL INTERESES</t>
  </si>
  <si>
    <t>TIPO DE CUOTA</t>
  </si>
  <si>
    <t>EXTRAORDINARIA</t>
  </si>
  <si>
    <t>TOTAL DESGRAVAMEN</t>
  </si>
  <si>
    <t>PERIODO DE GRACIA (MESES)</t>
  </si>
  <si>
    <t>TOTAL COMISIONES</t>
  </si>
  <si>
    <t>TIPO DE SEGURO DE DESG (2) (3) (4)</t>
  </si>
  <si>
    <t>CON DEVOLUC.</t>
  </si>
  <si>
    <t>PRIMA DE SEGURO DESG.</t>
  </si>
  <si>
    <t>LEYENDA:</t>
  </si>
  <si>
    <t>SEGURO DE PROTEC. CRÉDITOS (5) (7)</t>
  </si>
  <si>
    <t>NO</t>
  </si>
  <si>
    <t>Dato a ingresar y/o elegir de lista desplegable</t>
  </si>
  <si>
    <t>PRIMA DE SEGURO DE PROTEC. CRÉD.</t>
  </si>
  <si>
    <t>Dato formulado, no modificar</t>
  </si>
  <si>
    <t>TIPO DE ENVÍO DE EECC (6)</t>
  </si>
  <si>
    <t>VIRTUAL</t>
  </si>
  <si>
    <t>COMISIÓN POR ENVÍO DE EECC (6)</t>
  </si>
  <si>
    <t xml:space="preserve">NOTA: </t>
  </si>
  <si>
    <t>(1)</t>
  </si>
  <si>
    <t>La TEA es fija durante todo el crédito. Consulta tu tasa aplicable ingresando a Interbank.pe, por nuestra App, visitando nuestras Tiendas o llamando al (01)3119000</t>
  </si>
  <si>
    <t>(2)</t>
  </si>
  <si>
    <t>Se calcula sobre el saldo de capital del crédito. El cliente puede elegir contratar el seguro de desgravamen tradicional sin devolución o seguro de desgravamen con devolución. Consultar condiciones y requisitos en www.Interbank.pe</t>
  </si>
  <si>
    <t>(3)</t>
  </si>
  <si>
    <t xml:space="preserve">El cliente no tiene la obligación de tomar el seguro de Interbank, puede endosar el suyo (ya existente) a favor de Interbank y/o uno similar provisto por otra compañía. Para financiamientos mayores a USD $300,000 solo se podrá desembolsar con un seguro endosado. </t>
  </si>
  <si>
    <t>(4)</t>
  </si>
  <si>
    <t>El seguro de desgravamen con devolución aplica únicamente para financiamientos con plazos de 24 meses o más.</t>
  </si>
  <si>
    <t>(5)</t>
  </si>
  <si>
    <t>Este seguro es a solicitud del cliente. El importe de la prima será incluida en el capital y financiada según las condiciones del crédito.</t>
  </si>
  <si>
    <t>(6)</t>
  </si>
  <si>
    <t>La comisión por envío de Estado de Cuenta varía según la moneda y si tiene Cuenta Sueldo con Interbank: en soles, S/4 con planilla y S/10 sin planilla; en dólares, USD $1.5 con planilla y USD $3.5 sin planilla.</t>
  </si>
  <si>
    <t>(7)</t>
  </si>
  <si>
    <t xml:space="preserve">Plazo máximo de 60 meses. </t>
  </si>
  <si>
    <t>VENCIMIENTO</t>
  </si>
  <si>
    <t>SALDO CAPITAL</t>
  </si>
  <si>
    <t>AMORTIZACIÓN</t>
  </si>
  <si>
    <t>INTERÉS</t>
  </si>
  <si>
    <t>DESGRAVAMEN</t>
  </si>
  <si>
    <t>COMISIÓN</t>
  </si>
  <si>
    <t>TC</t>
  </si>
  <si>
    <t>Días</t>
  </si>
  <si>
    <t>Mes</t>
  </si>
  <si>
    <t>Año</t>
  </si>
  <si>
    <t>EX/ORD</t>
  </si>
  <si>
    <t>Vencimiento</t>
  </si>
  <si>
    <t>Días reales</t>
  </si>
  <si>
    <t>Factor</t>
  </si>
  <si>
    <t>Saldo Capital</t>
  </si>
  <si>
    <t>Desgravamen</t>
  </si>
  <si>
    <t>Pago</t>
  </si>
  <si>
    <t>Comisión</t>
  </si>
  <si>
    <t>Total Cuota</t>
  </si>
  <si>
    <t>Tasación</t>
  </si>
  <si>
    <t>Gastos Notariales</t>
  </si>
  <si>
    <t>Gastos Registrales</t>
  </si>
  <si>
    <t>Otros Gastos</t>
  </si>
  <si>
    <t>Total</t>
  </si>
  <si>
    <t>Importe Dolares</t>
  </si>
  <si>
    <t>Importe del pp:</t>
  </si>
  <si>
    <t>TCEA (Anual):</t>
  </si>
  <si>
    <t>TEA (Anual):</t>
  </si>
  <si>
    <t>Tasa Préstamo (Mensual):</t>
  </si>
  <si>
    <t>Tasa Préstamo (Diaria):</t>
  </si>
  <si>
    <t>No. Cuotas:</t>
  </si>
  <si>
    <t>Periodo de Gracia</t>
  </si>
  <si>
    <t>Fecha de compra:</t>
  </si>
  <si>
    <t>Fecha de pago:</t>
  </si>
  <si>
    <t>Fecha de pago 1 cuota:</t>
  </si>
  <si>
    <t>Plan de Protección</t>
  </si>
  <si>
    <t>Costo Anual:</t>
  </si>
  <si>
    <t>Costo Mensual:</t>
  </si>
  <si>
    <t>*SÓLO MODIFICA EL SPEECH, NO MODIFICA EL CRONOGRAMA</t>
  </si>
  <si>
    <t>Costo Diario</t>
  </si>
  <si>
    <t xml:space="preserve">Filtro </t>
  </si>
  <si>
    <t>RESUMEN EXTRACASH</t>
  </si>
  <si>
    <t>MONTO DE CREDITO</t>
  </si>
  <si>
    <t>EFECTIVA ANUAL FIJA</t>
  </si>
  <si>
    <t>TASA DE COSTO EFECTIVO ANUAL</t>
  </si>
  <si>
    <t>NRO CUOTAS MENSUALES</t>
  </si>
  <si>
    <t>FECHA DE PAGO PRIMERA CUOTA</t>
  </si>
  <si>
    <t>SIN DEVOLUC.</t>
  </si>
  <si>
    <t>SIN SEGURO (ENDOSO)</t>
  </si>
  <si>
    <t>TARIFA DE PROTECCIÓN FINANCIERA Soles</t>
  </si>
  <si>
    <t>Soles</t>
  </si>
  <si>
    <t>Dolares</t>
  </si>
  <si>
    <t>FÍSICO - CON PLANILLA</t>
  </si>
  <si>
    <t>FÍSICO - SIN PLANILLA</t>
  </si>
  <si>
    <t>SÍ</t>
  </si>
  <si>
    <t>DÓLARES</t>
  </si>
  <si>
    <t>ORDINARIA</t>
  </si>
  <si>
    <t>CRONOGRAMA PP</t>
  </si>
  <si>
    <t>OPCIÓN</t>
  </si>
  <si>
    <t>TEM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</si>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</sst>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7">
    <numFmt numFmtId="43" formatCode="_-* #,##0.00_-;\-* #,##0.00_-;_-* &quot;-&quot;??_-;_-@_-"/>
    <numFmt numFmtId="164" formatCode="_(* #,##0.00_);_(* \(#,##0.00\);_(* &quot;-&quot;??_);_(@_)"/>
    <numFmt numFmtId="165" formatCode="0.000%"/>
    <numFmt numFmtId="166" formatCode="&quot;S/&quot;\ #,##0.00"/>
    <numFmt numFmtId="167" formatCode="_ * #,##0.0000_ ;_ * \-#,##0.0000_ ;_ * &quot;-&quot;??_ ;_ @_ "/>
    <numFmt numFmtId="168" formatCode="_ * #,##0.000_ ;_ * \-#,##0.000_ ;_ * &quot;-&quot;??_ ;_ @_ "/>
    <numFmt numFmtId="169" formatCode="_ * #,##0_ ;_ * \-#,##0_ ;_ * &quot;-&quot;??_ ;_ @_ "/>
    <numFmt numFmtId="170" formatCode="_ * ###0_ ;_ * \-#,##0_ ;_ * &quot;-&quot;??_ ;_ @_ "/>
    <numFmt numFmtId="171" formatCode="0.0000%"/>
    <numFmt numFmtId="172" formatCode="_(&quot;S/.&quot;* #,##0.00_);_(&quot;S/.&quot;* \(#,##0.00\);_(&quot;S/.&quot;* &quot;-&quot;??_);_(@_)"/>
    <numFmt numFmtId="173" formatCode="_-[$S/-280A]* #,##0.00_-;\-[$S/-280A]* #,##0.00_-;_-[$S/-280A]* &quot;-&quot;??_-;_-@_-"/>
    <numFmt numFmtId="174" formatCode="0.00000"/>
    <numFmt numFmtId="175" formatCode="0.00000%"/>
    <numFmt numFmtId="176" formatCode="_(* #,##0.0000_);_(* \(#,##0.0000\);_(* &quot;-&quot;??_);_(@_)"/>
    <numFmt numFmtId="177" formatCode="_ [$S/.-280A]\ * #,##0.0_ ;_ [$S/.-280A]\ * \-#,##0.0_ ;_ [$S/.-280A]\ * &quot;-&quot;??_ ;_ @_ "/>
    <numFmt numFmtId="178" formatCode="#,##0.0"/>
    <numFmt numFmtId="179" formatCode="_-* #,##0.000000_-;\-* #,##0.000000_-;_-* &quot;-&quot;??_-;_-@_-"/>
  </numFmts>
  <fonts count="3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0"/>
      <name val="Century Gothic"/>
      <family val="2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theme="1"/>
      <name val="Arial Black"/>
      <family val="2"/>
    </font>
    <font>
      <b/>
      <sz val="20"/>
      <color theme="3"/>
      <name val="Aptos Narrow"/>
      <family val="2"/>
      <scheme val="minor"/>
    </font>
    <font>
      <b/>
      <sz val="12"/>
      <color theme="8" tint="-0.249977111117893"/>
      <name val="Aptos Narrow"/>
      <family val="2"/>
      <scheme val="minor"/>
    </font>
    <font>
      <b/>
      <sz val="11"/>
      <color theme="7" tint="-0.249977111117893"/>
      <name val="Aptos Narrow"/>
      <family val="2"/>
      <scheme val="minor"/>
    </font>
    <font>
      <sz val="11"/>
      <color theme="3"/>
      <name val="Aptos Narrow"/>
      <family val="2"/>
      <scheme val="minor"/>
    </font>
    <font>
      <b/>
      <sz val="11"/>
      <color theme="1" tint="0.499984740745262"/>
      <name val="Aptos Narrow"/>
      <family val="2"/>
      <scheme val="minor"/>
    </font>
    <font>
      <sz val="1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2"/>
      <color theme="3"/>
      <name val="Aptos Narrow"/>
      <family val="2"/>
      <scheme val="minor"/>
    </font>
    <font>
      <b/>
      <sz val="8"/>
      <color theme="4"/>
      <name val="Aptos Narrow"/>
      <family val="2"/>
      <scheme val="minor"/>
    </font>
    <font>
      <b/>
      <sz val="18"/>
      <color theme="3"/>
      <name val="Aptos Narrow"/>
      <family val="2"/>
      <scheme val="minor"/>
    </font>
    <font>
      <b/>
      <sz val="14"/>
      <color theme="4" tint="-0.499984740745262"/>
      <name val="Aptos Narrow"/>
      <family val="2"/>
      <scheme val="minor"/>
    </font>
    <font>
      <b/>
      <sz val="14"/>
      <color theme="3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b/>
      <sz val="11"/>
      <color theme="3"/>
      <name val="Aptos Narrow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</fills>
  <borders count="2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hair">
        <color theme="0"/>
      </left>
      <right style="hair">
        <color theme="0"/>
      </right>
      <top style="hair">
        <color theme="0"/>
      </top>
      <bottom style="hair">
        <color theme="0"/>
      </bottom>
      <diagonal/>
    </border>
    <border>
      <left/>
      <right/>
      <top style="hair">
        <color theme="0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hair">
        <color theme="4" tint="0.79998168889431442"/>
      </top>
      <bottom style="hair">
        <color theme="4" tint="0.79998168889431442"/>
      </bottom>
      <diagonal/>
    </border>
  </borders>
  <cellStyleXfs count="21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9" fillId="0" borderId="0"/>
    <xf numFmtId="17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0" fontId="2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7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10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0" fontId="0" fillId="0" borderId="0" xfId="2" applyNumberFormat="1" applyFont="1"/>
    <xf numFmtId="165" fontId="0" fillId="0" borderId="0" xfId="2" applyNumberFormat="1" applyFont="1"/>
    <xf numFmtId="0" fontId="2" fillId="3" borderId="0" xfId="0" applyFont="1" applyFill="1"/>
    <xf numFmtId="0" fontId="0" fillId="0" borderId="0" xfId="0" applyAlignment="1">
      <alignment horizontal="center"/>
    </xf>
    <xf numFmtId="166" fontId="0" fillId="0" borderId="0" xfId="1" applyNumberFormat="1" applyFont="1" applyAlignment="1">
      <alignment horizontal="center"/>
    </xf>
    <xf numFmtId="14" fontId="0" fillId="0" borderId="0" xfId="0" applyNumberFormat="1"/>
    <xf numFmtId="14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0" fontId="2" fillId="4" borderId="0" xfId="0" applyFont="1" applyFill="1"/>
    <xf numFmtId="0" fontId="4" fillId="5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5" fillId="6" borderId="0" xfId="0" applyNumberFormat="1" applyFont="1" applyFill="1" applyAlignment="1">
      <alignment horizontal="center" vertical="center"/>
    </xf>
    <xf numFmtId="2" fontId="4" fillId="6" borderId="0" xfId="0" applyNumberFormat="1" applyFont="1" applyFill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3" fontId="0" fillId="0" borderId="4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0" xfId="0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10" fontId="0" fillId="0" borderId="4" xfId="0" applyNumberFormat="1" applyBorder="1" applyAlignment="1">
      <alignment horizontal="center" vertical="center"/>
    </xf>
    <xf numFmtId="0" fontId="11" fillId="0" borderId="0" xfId="0" applyFont="1" applyProtection="1"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/>
      <protection locked="0"/>
    </xf>
    <xf numFmtId="164" fontId="0" fillId="0" borderId="0" xfId="3" applyFont="1" applyAlignment="1" applyProtection="1">
      <alignment horizontal="center" vertical="center"/>
      <protection locked="0"/>
    </xf>
    <xf numFmtId="164" fontId="0" fillId="0" borderId="0" xfId="3" applyFont="1" applyAlignment="1" applyProtection="1">
      <alignment vertical="center"/>
      <protection locked="0"/>
    </xf>
    <xf numFmtId="167" fontId="0" fillId="0" borderId="0" xfId="3" applyNumberFormat="1" applyFont="1" applyAlignment="1" applyProtection="1">
      <alignment horizontal="center" vertical="center"/>
      <protection locked="0"/>
    </xf>
    <xf numFmtId="164" fontId="0" fillId="0" borderId="0" xfId="3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164" fontId="8" fillId="0" borderId="0" xfId="3" applyFont="1" applyAlignment="1" applyProtection="1">
      <alignment horizontal="center" vertical="center"/>
      <protection locked="0"/>
    </xf>
    <xf numFmtId="0" fontId="8" fillId="0" borderId="0" xfId="3" applyNumberFormat="1" applyFont="1" applyAlignment="1" applyProtection="1">
      <alignment horizontal="center" vertical="center"/>
      <protection hidden="1"/>
    </xf>
    <xf numFmtId="164" fontId="12" fillId="0" borderId="0" xfId="3" applyFont="1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0" fontId="2" fillId="7" borderId="0" xfId="0" applyFont="1" applyFill="1" applyAlignment="1" applyProtection="1">
      <alignment horizontal="center" vertical="center" wrapText="1"/>
      <protection locked="0"/>
    </xf>
    <xf numFmtId="10" fontId="0" fillId="0" borderId="0" xfId="0" applyNumberFormat="1" applyProtection="1">
      <protection locked="0"/>
    </xf>
    <xf numFmtId="167" fontId="0" fillId="0" borderId="0" xfId="0" applyNumberFormat="1" applyAlignment="1" applyProtection="1">
      <alignment horizontal="center" vertical="center"/>
      <protection locked="0"/>
    </xf>
    <xf numFmtId="168" fontId="0" fillId="0" borderId="0" xfId="3" applyNumberFormat="1" applyFont="1" applyAlignment="1" applyProtection="1">
      <alignment horizontal="center" vertical="center"/>
      <protection locked="0"/>
    </xf>
    <xf numFmtId="164" fontId="0" fillId="0" borderId="0" xfId="3" applyFont="1" applyFill="1" applyAlignment="1" applyProtection="1">
      <alignment horizontal="center" vertical="center"/>
      <protection locked="0"/>
    </xf>
    <xf numFmtId="164" fontId="0" fillId="0" borderId="0" xfId="0" applyNumberFormat="1" applyProtection="1">
      <protection locked="0"/>
    </xf>
    <xf numFmtId="169" fontId="8" fillId="0" borderId="0" xfId="3" applyNumberFormat="1" applyFont="1" applyAlignment="1" applyProtection="1">
      <alignment horizontal="center" vertical="center"/>
      <protection locked="0"/>
    </xf>
    <xf numFmtId="0" fontId="10" fillId="8" borderId="0" xfId="0" applyFont="1" applyFill="1" applyAlignment="1" applyProtection="1">
      <alignment horizontal="righ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169" fontId="0" fillId="0" borderId="0" xfId="3" applyNumberFormat="1" applyFont="1" applyAlignment="1" applyProtection="1">
      <alignment horizontal="center" vertical="center"/>
      <protection hidden="1"/>
    </xf>
    <xf numFmtId="170" fontId="17" fillId="0" borderId="0" xfId="3" applyNumberFormat="1" applyFont="1" applyBorder="1" applyAlignment="1" applyProtection="1">
      <alignment horizontal="center" vertical="center"/>
      <protection hidden="1"/>
    </xf>
    <xf numFmtId="14" fontId="17" fillId="0" borderId="0" xfId="0" applyNumberFormat="1" applyFont="1" applyAlignment="1" applyProtection="1">
      <alignment horizontal="center" vertical="center"/>
      <protection hidden="1"/>
    </xf>
    <xf numFmtId="169" fontId="17" fillId="0" borderId="0" xfId="3" applyNumberFormat="1" applyFont="1" applyBorder="1" applyAlignment="1" applyProtection="1">
      <alignment horizontal="center" vertical="center"/>
      <protection hidden="1"/>
    </xf>
    <xf numFmtId="164" fontId="0" fillId="0" borderId="0" xfId="3" applyFont="1" applyAlignment="1" applyProtection="1">
      <alignment horizontal="center" vertical="center"/>
      <protection hidden="1"/>
    </xf>
    <xf numFmtId="164" fontId="0" fillId="0" borderId="0" xfId="3" applyFont="1" applyFill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locked="0"/>
    </xf>
    <xf numFmtId="164" fontId="0" fillId="0" borderId="0" xfId="3" applyFont="1" applyProtection="1">
      <protection hidden="1"/>
    </xf>
    <xf numFmtId="0" fontId="18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10" fillId="11" borderId="17" xfId="0" applyFont="1" applyFill="1" applyBorder="1" applyAlignment="1" applyProtection="1">
      <alignment horizontal="right" vertical="center"/>
      <protection locked="0"/>
    </xf>
    <xf numFmtId="0" fontId="20" fillId="12" borderId="17" xfId="0" applyFont="1" applyFill="1" applyBorder="1" applyAlignment="1" applyProtection="1">
      <alignment horizontal="center" vertical="center"/>
      <protection locked="0"/>
    </xf>
    <xf numFmtId="0" fontId="10" fillId="13" borderId="17" xfId="0" applyFont="1" applyFill="1" applyBorder="1" applyAlignment="1" applyProtection="1">
      <alignment horizontal="right" vertical="center"/>
      <protection locked="0"/>
    </xf>
    <xf numFmtId="0" fontId="7" fillId="0" borderId="0" xfId="0" applyFont="1" applyProtection="1">
      <protection locked="0"/>
    </xf>
    <xf numFmtId="0" fontId="17" fillId="0" borderId="0" xfId="0" applyFont="1" applyAlignment="1" applyProtection="1">
      <alignment horizontal="right"/>
      <protection locked="0"/>
    </xf>
    <xf numFmtId="169" fontId="17" fillId="0" borderId="0" xfId="3" applyNumberFormat="1" applyFont="1" applyBorder="1" applyAlignment="1" applyProtection="1">
      <alignment horizontal="center" vertical="center"/>
      <protection locked="0"/>
    </xf>
    <xf numFmtId="170" fontId="17" fillId="0" borderId="0" xfId="3" applyNumberFormat="1" applyFont="1" applyBorder="1" applyAlignment="1" applyProtection="1">
      <alignment horizontal="center" vertical="center"/>
      <protection locked="0"/>
    </xf>
    <xf numFmtId="14" fontId="17" fillId="0" borderId="0" xfId="0" applyNumberFormat="1" applyFont="1" applyAlignment="1" applyProtection="1">
      <alignment horizontal="center" vertical="center"/>
      <protection locked="0"/>
    </xf>
    <xf numFmtId="167" fontId="0" fillId="0" borderId="0" xfId="3" applyNumberFormat="1" applyFont="1" applyFill="1" applyAlignment="1" applyProtection="1">
      <alignment horizontal="center" vertical="center"/>
      <protection locked="0"/>
    </xf>
    <xf numFmtId="169" fontId="17" fillId="0" borderId="19" xfId="3" applyNumberFormat="1" applyFont="1" applyBorder="1" applyAlignment="1" applyProtection="1">
      <alignment horizontal="center" vertical="center"/>
      <protection locked="0"/>
    </xf>
    <xf numFmtId="170" fontId="17" fillId="0" borderId="19" xfId="3" applyNumberFormat="1" applyFont="1" applyBorder="1" applyAlignment="1" applyProtection="1">
      <alignment horizontal="center" vertical="center"/>
      <protection locked="0"/>
    </xf>
    <xf numFmtId="14" fontId="17" fillId="0" borderId="19" xfId="0" applyNumberFormat="1" applyFont="1" applyBorder="1" applyAlignment="1" applyProtection="1">
      <alignment horizontal="center" vertical="center"/>
      <protection locked="0"/>
    </xf>
    <xf numFmtId="167" fontId="0" fillId="0" borderId="19" xfId="3" applyNumberFormat="1" applyFont="1" applyFill="1" applyBorder="1" applyAlignment="1" applyProtection="1">
      <alignment horizontal="center" vertical="center"/>
      <protection locked="0"/>
    </xf>
    <xf numFmtId="164" fontId="0" fillId="0" borderId="19" xfId="3" applyFont="1" applyBorder="1" applyAlignment="1" applyProtection="1">
      <alignment horizontal="center" vertical="center"/>
      <protection locked="0"/>
    </xf>
    <xf numFmtId="164" fontId="0" fillId="0" borderId="19" xfId="3" applyFont="1" applyFill="1" applyBorder="1" applyAlignment="1" applyProtection="1">
      <alignment horizontal="center" vertical="center"/>
      <protection locked="0"/>
    </xf>
    <xf numFmtId="169" fontId="17" fillId="0" borderId="20" xfId="3" applyNumberFormat="1" applyFont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23" fillId="0" borderId="21" xfId="0" applyFont="1" applyBorder="1" applyAlignment="1" applyProtection="1">
      <alignment horizontal="left"/>
      <protection locked="0"/>
    </xf>
    <xf numFmtId="0" fontId="9" fillId="0" borderId="21" xfId="0" applyFont="1" applyBorder="1" applyAlignment="1" applyProtection="1">
      <alignment horizontal="left" vertical="center"/>
      <protection locked="0"/>
    </xf>
    <xf numFmtId="169" fontId="24" fillId="0" borderId="21" xfId="3" applyNumberFormat="1" applyFont="1" applyBorder="1" applyAlignment="1" applyProtection="1">
      <alignment horizontal="left" vertical="center"/>
      <protection locked="0"/>
    </xf>
    <xf numFmtId="0" fontId="2" fillId="0" borderId="21" xfId="0" applyFont="1" applyBorder="1" applyAlignment="1" applyProtection="1">
      <alignment horizontal="left" vertical="center"/>
      <protection locked="0"/>
    </xf>
    <xf numFmtId="0" fontId="25" fillId="0" borderId="21" xfId="0" applyFon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164" fontId="23" fillId="0" borderId="21" xfId="3" applyFont="1" applyFill="1" applyBorder="1" applyAlignment="1" applyProtection="1">
      <alignment horizontal="right" vertical="center"/>
      <protection locked="0"/>
    </xf>
    <xf numFmtId="10" fontId="23" fillId="0" borderId="21" xfId="2" applyNumberFormat="1" applyFont="1" applyFill="1" applyBorder="1" applyAlignment="1" applyProtection="1">
      <alignment horizontal="right" vertical="center"/>
      <protection locked="0"/>
    </xf>
    <xf numFmtId="0" fontId="24" fillId="0" borderId="21" xfId="0" applyFont="1" applyBorder="1" applyAlignment="1" applyProtection="1">
      <alignment horizontal="left" vertical="center"/>
      <protection locked="0"/>
    </xf>
    <xf numFmtId="10" fontId="23" fillId="0" borderId="21" xfId="2" applyNumberFormat="1" applyFont="1" applyBorder="1" applyAlignment="1" applyProtection="1">
      <alignment horizontal="right" vertical="center"/>
      <protection locked="0"/>
    </xf>
    <xf numFmtId="0" fontId="23" fillId="0" borderId="21" xfId="0" applyFont="1" applyBorder="1" applyAlignment="1" applyProtection="1">
      <alignment horizontal="right" vertical="center"/>
      <protection locked="0"/>
    </xf>
    <xf numFmtId="14" fontId="23" fillId="0" borderId="21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169" fontId="17" fillId="0" borderId="0" xfId="3" applyNumberFormat="1" applyFont="1" applyBorder="1" applyAlignment="1" applyProtection="1">
      <alignment horizontal="left" vertical="center"/>
      <protection locked="0"/>
    </xf>
    <xf numFmtId="167" fontId="17" fillId="0" borderId="0" xfId="3" applyNumberFormat="1" applyFont="1" applyFill="1" applyAlignment="1" applyProtection="1">
      <alignment horizontal="center" vertical="center"/>
      <protection locked="0"/>
    </xf>
    <xf numFmtId="164" fontId="17" fillId="0" borderId="0" xfId="3" applyFont="1" applyFill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164" fontId="17" fillId="0" borderId="0" xfId="3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vertical="center"/>
      <protection locked="0"/>
    </xf>
    <xf numFmtId="171" fontId="10" fillId="10" borderId="0" xfId="2" applyNumberFormat="1" applyFont="1" applyFill="1" applyAlignment="1" applyProtection="1">
      <alignment horizontal="center" vertical="center"/>
      <protection hidden="1"/>
    </xf>
    <xf numFmtId="171" fontId="13" fillId="9" borderId="0" xfId="2" applyNumberFormat="1" applyFont="1" applyFill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3" fillId="9" borderId="0" xfId="0" applyNumberFormat="1" applyFont="1" applyFill="1" applyAlignment="1" applyProtection="1">
      <alignment horizontal="center" vertical="center"/>
      <protection locked="0"/>
    </xf>
    <xf numFmtId="14" fontId="13" fillId="9" borderId="0" xfId="4" applyNumberFormat="1" applyFont="1" applyFill="1" applyAlignment="1" applyProtection="1">
      <alignment horizontal="center" vertical="center"/>
      <protection locked="0"/>
    </xf>
    <xf numFmtId="1" fontId="13" fillId="9" borderId="0" xfId="3" applyNumberFormat="1" applyFont="1" applyFill="1" applyBorder="1" applyAlignment="1" applyProtection="1">
      <alignment horizontal="center" vertical="center"/>
      <protection locked="0"/>
    </xf>
    <xf numFmtId="173" fontId="20" fillId="14" borderId="17" xfId="5" applyNumberFormat="1" applyFont="1" applyFill="1" applyBorder="1" applyAlignment="1">
      <alignment horizontal="center" vertical="center"/>
    </xf>
    <xf numFmtId="165" fontId="20" fillId="14" borderId="17" xfId="2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174" fontId="0" fillId="0" borderId="0" xfId="0" applyNumberFormat="1" applyAlignment="1">
      <alignment vertical="center"/>
    </xf>
    <xf numFmtId="165" fontId="0" fillId="0" borderId="11" xfId="2" applyNumberFormat="1" applyFont="1" applyBorder="1" applyAlignment="1">
      <alignment horizontal="center" vertical="center"/>
    </xf>
    <xf numFmtId="175" fontId="0" fillId="0" borderId="0" xfId="2" applyNumberFormat="1" applyFont="1" applyAlignment="1">
      <alignment vertical="center"/>
    </xf>
    <xf numFmtId="171" fontId="0" fillId="0" borderId="0" xfId="2" applyNumberFormat="1" applyFont="1" applyAlignment="1" applyProtection="1">
      <alignment horizontal="center" vertical="center"/>
      <protection locked="0"/>
    </xf>
    <xf numFmtId="43" fontId="0" fillId="0" borderId="0" xfId="3" applyNumberFormat="1" applyFont="1" applyAlignment="1" applyProtection="1">
      <alignment horizontal="left" vertical="center"/>
      <protection locked="0"/>
    </xf>
    <xf numFmtId="14" fontId="7" fillId="0" borderId="0" xfId="4" applyNumberFormat="1" applyFont="1" applyAlignment="1" applyProtection="1">
      <alignment horizontal="center" vertical="center"/>
      <protection hidden="1"/>
    </xf>
    <xf numFmtId="176" fontId="0" fillId="0" borderId="0" xfId="3" applyNumberFormat="1" applyFont="1" applyAlignment="1" applyProtection="1">
      <alignment horizontal="center" vertical="center"/>
      <protection locked="0"/>
    </xf>
    <xf numFmtId="14" fontId="15" fillId="15" borderId="0" xfId="4" applyNumberFormat="1" applyFont="1" applyFill="1" applyAlignment="1" applyProtection="1">
      <alignment horizontal="center" vertical="center"/>
      <protection hidden="1"/>
    </xf>
    <xf numFmtId="164" fontId="0" fillId="16" borderId="0" xfId="3" applyFont="1" applyFill="1" applyAlignment="1" applyProtection="1">
      <alignment horizontal="center" vertical="center"/>
      <protection hidden="1"/>
    </xf>
    <xf numFmtId="0" fontId="22" fillId="9" borderId="0" xfId="0" applyFont="1" applyFill="1" applyAlignment="1" applyProtection="1">
      <alignment horizontal="center" vertical="center"/>
      <protection locked="0"/>
    </xf>
    <xf numFmtId="164" fontId="23" fillId="0" borderId="0" xfId="3" applyFont="1" applyFill="1" applyBorder="1" applyAlignment="1" applyProtection="1">
      <alignment horizontal="right" vertical="center"/>
      <protection locked="0"/>
    </xf>
    <xf numFmtId="10" fontId="23" fillId="0" borderId="0" xfId="2" applyNumberFormat="1" applyFont="1" applyFill="1" applyBorder="1" applyAlignment="1" applyProtection="1">
      <alignment horizontal="right" vertical="center"/>
      <protection locked="0"/>
    </xf>
    <xf numFmtId="10" fontId="23" fillId="0" borderId="0" xfId="2" applyNumberFormat="1" applyFont="1" applyBorder="1" applyAlignment="1" applyProtection="1">
      <alignment horizontal="right" vertical="center"/>
      <protection locked="0"/>
    </xf>
    <xf numFmtId="0" fontId="23" fillId="0" borderId="0" xfId="0" applyFont="1" applyAlignment="1" applyProtection="1">
      <alignment horizontal="right" vertical="center"/>
      <protection locked="0"/>
    </xf>
    <xf numFmtId="14" fontId="23" fillId="0" borderId="0" xfId="0" applyNumberFormat="1" applyFont="1" applyAlignment="1" applyProtection="1">
      <alignment horizontal="right" vertical="center"/>
      <protection locked="0"/>
    </xf>
    <xf numFmtId="10" fontId="0" fillId="0" borderId="11" xfId="2" applyNumberFormat="1" applyFont="1" applyBorder="1" applyAlignment="1">
      <alignment horizontal="center" vertical="center"/>
    </xf>
    <xf numFmtId="177" fontId="13" fillId="9" borderId="0" xfId="3" applyNumberFormat="1" applyFont="1" applyFill="1" applyAlignment="1" applyProtection="1">
      <alignment horizontal="center" vertical="center"/>
      <protection locked="0"/>
    </xf>
    <xf numFmtId="4" fontId="0" fillId="0" borderId="4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15" borderId="0" xfId="3" applyFont="1" applyFill="1" applyAlignment="1" applyProtection="1">
      <alignment horizontal="center" vertical="center"/>
      <protection hidden="1"/>
    </xf>
    <xf numFmtId="167" fontId="0" fillId="15" borderId="0" xfId="3" applyNumberFormat="1" applyFont="1" applyFill="1" applyAlignment="1" applyProtection="1">
      <alignment horizontal="center" vertical="center"/>
      <protection hidden="1"/>
    </xf>
    <xf numFmtId="164" fontId="0" fillId="17" borderId="0" xfId="0" applyNumberFormat="1" applyFill="1" applyProtection="1">
      <protection locked="0"/>
    </xf>
    <xf numFmtId="164" fontId="0" fillId="18" borderId="0" xfId="0" applyNumberFormat="1" applyFill="1" applyProtection="1">
      <protection locked="0"/>
    </xf>
    <xf numFmtId="43" fontId="0" fillId="0" borderId="0" xfId="0" applyNumberFormat="1" applyProtection="1">
      <protection locked="0"/>
    </xf>
    <xf numFmtId="0" fontId="10" fillId="19" borderId="16" xfId="0" applyFont="1" applyFill="1" applyBorder="1" applyAlignment="1" applyProtection="1">
      <alignment horizontal="center" vertical="center" wrapText="1"/>
      <protection locked="0"/>
    </xf>
    <xf numFmtId="10" fontId="17" fillId="16" borderId="4" xfId="0" applyNumberFormat="1" applyFont="1" applyFill="1" applyBorder="1" applyAlignment="1">
      <alignment horizontal="center" vertical="center"/>
    </xf>
    <xf numFmtId="0" fontId="10" fillId="20" borderId="4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0" fillId="21" borderId="4" xfId="0" applyFill="1" applyBorder="1" applyAlignment="1">
      <alignment vertical="center"/>
    </xf>
    <xf numFmtId="0" fontId="0" fillId="5" borderId="4" xfId="0" applyFill="1" applyBorder="1" applyAlignment="1">
      <alignment vertical="center"/>
    </xf>
    <xf numFmtId="0" fontId="0" fillId="21" borderId="4" xfId="0" applyFill="1" applyBorder="1" applyAlignment="1">
      <alignment horizontal="left" vertical="center"/>
    </xf>
    <xf numFmtId="0" fontId="26" fillId="0" borderId="0" xfId="0" applyFont="1" applyAlignment="1" applyProtection="1">
      <alignment horizontal="right" vertical="center"/>
      <protection locked="0"/>
    </xf>
    <xf numFmtId="179" fontId="0" fillId="0" borderId="0" xfId="2" applyNumberFormat="1" applyFont="1" applyAlignment="1" applyProtection="1">
      <alignment horizontal="left" vertical="center"/>
      <protection locked="0"/>
    </xf>
    <xf numFmtId="0" fontId="2" fillId="5" borderId="4" xfId="0" applyFont="1" applyFill="1" applyBorder="1" applyAlignment="1">
      <alignment horizontal="left" vertical="center"/>
    </xf>
    <xf numFmtId="0" fontId="0" fillId="0" borderId="0" xfId="2" applyNumberFormat="1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/>
      <protection hidden="1"/>
    </xf>
    <xf numFmtId="178" fontId="0" fillId="0" borderId="4" xfId="0" applyNumberFormat="1" applyBorder="1" applyAlignment="1">
      <alignment horizontal="center" vertical="center"/>
    </xf>
    <xf numFmtId="0" fontId="0" fillId="0" borderId="0" xfId="0" quotePrefix="1" applyAlignment="1">
      <alignment horizontal="right" vertical="center"/>
    </xf>
    <xf numFmtId="0" fontId="0" fillId="0" borderId="0" xfId="0" applyAlignment="1">
      <alignment vertical="justify"/>
    </xf>
    <xf numFmtId="0" fontId="26" fillId="0" borderId="0" xfId="0" applyFont="1" applyAlignment="1">
      <alignment horizontal="left" vertical="center"/>
    </xf>
    <xf numFmtId="0" fontId="29" fillId="0" borderId="0" xfId="0" applyFont="1" applyAlignment="1" applyProtection="1">
      <alignment horizontal="right"/>
      <protection locked="0"/>
    </xf>
    <xf numFmtId="164" fontId="15" fillId="0" borderId="0" xfId="3" applyFont="1" applyAlignment="1" applyProtection="1">
      <alignment horizontal="center" vertical="center"/>
      <protection locked="0"/>
    </xf>
    <xf numFmtId="0" fontId="15" fillId="0" borderId="0" xfId="0" applyFont="1" applyAlignment="1">
      <alignment horizontal="center" vertical="center"/>
    </xf>
    <xf numFmtId="0" fontId="15" fillId="0" borderId="0" xfId="2" applyNumberFormat="1" applyFont="1" applyAlignment="1" applyProtection="1">
      <alignment horizontal="center" vertical="center"/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2" applyNumberFormat="1" applyFont="1" applyAlignment="1" applyProtection="1">
      <alignment horizontal="center" vertical="center"/>
      <protection locked="0"/>
    </xf>
    <xf numFmtId="16" fontId="0" fillId="0" borderId="0" xfId="0" applyNumberFormat="1" applyProtection="1">
      <protection locked="0"/>
    </xf>
    <xf numFmtId="0" fontId="2" fillId="5" borderId="4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" fillId="21" borderId="4" xfId="0" applyFont="1" applyFill="1" applyBorder="1" applyAlignment="1">
      <alignment horizontal="center" vertical="center"/>
    </xf>
    <xf numFmtId="0" fontId="2" fillId="21" borderId="13" xfId="0" applyFont="1" applyFill="1" applyBorder="1" applyAlignment="1">
      <alignment horizontal="center" vertical="center"/>
    </xf>
    <xf numFmtId="3" fontId="0" fillId="0" borderId="11" xfId="0" applyNumberFormat="1" applyBorder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171" fontId="0" fillId="0" borderId="4" xfId="2" applyNumberFormat="1" applyFont="1" applyBorder="1" applyAlignment="1" applyProtection="1">
      <alignment horizontal="center" vertical="center"/>
    </xf>
    <xf numFmtId="3" fontId="0" fillId="0" borderId="4" xfId="0" applyNumberFormat="1" applyBorder="1" applyAlignment="1" applyProtection="1">
      <alignment horizontal="center" vertical="center"/>
      <protection locked="0"/>
    </xf>
    <xf numFmtId="14" fontId="0" fillId="0" borderId="4" xfId="0" applyNumberFormat="1" applyBorder="1" applyAlignment="1" applyProtection="1">
      <alignment horizontal="center" vertical="center"/>
      <protection locked="0"/>
    </xf>
    <xf numFmtId="10" fontId="17" fillId="16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43" fontId="0" fillId="0" borderId="4" xfId="1" applyFont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5" borderId="4" xfId="0" applyFont="1" applyFill="1" applyBorder="1" applyAlignment="1">
      <alignment horizontal="left" vertical="center"/>
    </xf>
    <xf numFmtId="0" fontId="2" fillId="5" borderId="13" xfId="0" applyFont="1" applyFill="1" applyBorder="1" applyAlignment="1">
      <alignment horizontal="left" vertical="center"/>
    </xf>
    <xf numFmtId="0" fontId="2" fillId="5" borderId="15" xfId="0" applyFont="1" applyFill="1" applyBorder="1" applyAlignment="1">
      <alignment horizontal="left" vertical="center"/>
    </xf>
    <xf numFmtId="0" fontId="0" fillId="21" borderId="4" xfId="0" applyFill="1" applyBorder="1" applyAlignment="1">
      <alignment horizontal="left" vertical="center"/>
    </xf>
    <xf numFmtId="0" fontId="0" fillId="21" borderId="13" xfId="0" applyFill="1" applyBorder="1" applyAlignment="1">
      <alignment horizontal="left" vertical="center"/>
    </xf>
    <xf numFmtId="0" fontId="0" fillId="21" borderId="15" xfId="0" applyFill="1" applyBorder="1" applyAlignment="1">
      <alignment horizontal="left" vertical="center"/>
    </xf>
    <xf numFmtId="0" fontId="2" fillId="21" borderId="4" xfId="0" applyFont="1" applyFill="1" applyBorder="1" applyAlignment="1">
      <alignment horizontal="left" vertical="center"/>
    </xf>
    <xf numFmtId="0" fontId="6" fillId="19" borderId="13" xfId="0" applyFont="1" applyFill="1" applyBorder="1" applyAlignment="1">
      <alignment horizontal="center" vertical="center"/>
    </xf>
    <xf numFmtId="0" fontId="6" fillId="19" borderId="14" xfId="0" applyFont="1" applyFill="1" applyBorder="1" applyAlignment="1">
      <alignment horizontal="center" vertical="center"/>
    </xf>
    <xf numFmtId="0" fontId="6" fillId="19" borderId="15" xfId="0" applyFont="1" applyFill="1" applyBorder="1" applyAlignment="1">
      <alignment horizontal="center" vertical="center"/>
    </xf>
    <xf numFmtId="0" fontId="10" fillId="20" borderId="4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 vertical="justify"/>
    </xf>
    <xf numFmtId="0" fontId="0" fillId="0" borderId="0" xfId="0" applyAlignment="1">
      <alignment horizontal="left" vertical="justify" wrapText="1"/>
    </xf>
    <xf numFmtId="4" fontId="0" fillId="0" borderId="4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4" fontId="0" fillId="16" borderId="4" xfId="0" applyNumberFormat="1" applyFill="1" applyBorder="1" applyAlignment="1">
      <alignment horizontal="center" vertical="center"/>
    </xf>
    <xf numFmtId="0" fontId="10" fillId="20" borderId="13" xfId="0" applyFont="1" applyFill="1" applyBorder="1" applyAlignment="1" applyProtection="1">
      <alignment horizontal="center" vertical="center" wrapText="1"/>
      <protection locked="0"/>
    </xf>
    <xf numFmtId="0" fontId="10" fillId="20" borderId="14" xfId="0" applyFont="1" applyFill="1" applyBorder="1" applyAlignment="1" applyProtection="1">
      <alignment horizontal="center" vertical="center" wrapText="1"/>
      <protection locked="0"/>
    </xf>
    <xf numFmtId="0" fontId="10" fillId="20" borderId="15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12" fillId="0" borderId="0" xfId="3" applyFont="1" applyAlignment="1" applyProtection="1">
      <alignment horizontal="center" vertical="center"/>
      <protection locked="0"/>
    </xf>
    <xf numFmtId="0" fontId="21" fillId="0" borderId="18" xfId="0" applyFont="1" applyBorder="1" applyAlignment="1" applyProtection="1">
      <alignment horizontal="left" vertical="top" wrapText="1"/>
      <protection locked="0"/>
    </xf>
    <xf numFmtId="0" fontId="21" fillId="0" borderId="0" xfId="0" applyFont="1" applyAlignment="1" applyProtection="1">
      <alignment horizontal="left" vertical="top" wrapText="1"/>
      <protection locked="0"/>
    </xf>
    <xf numFmtId="0" fontId="22" fillId="9" borderId="21" xfId="0" applyFont="1" applyFill="1" applyBorder="1" applyAlignment="1" applyProtection="1">
      <alignment horizontal="center" vertical="center"/>
      <protection locked="0"/>
    </xf>
  </cellXfs>
  <cellStyles count="218">
    <cellStyle name="Hipervínculo 2" xfId="116" hidden="1" xr:uid="{8162EF5F-4801-47FF-8CA1-000071773D3E}"/>
    <cellStyle name="Hipervínculo 2" xfId="153" hidden="1" xr:uid="{11CB0435-BCA6-4F81-87E7-916DB413926F}"/>
    <cellStyle name="Hipervínculo 2" xfId="190" hidden="1" xr:uid="{F575CBA6-260C-4B81-A365-93964B0EA1A7}"/>
    <cellStyle name="Hipervínculo 2" xfId="154" hidden="1" xr:uid="{8D6CBA72-A185-4A03-A8AC-03C52968CECE}"/>
    <cellStyle name="Hipervínculo 2" xfId="113" hidden="1" xr:uid="{BC4E864D-5222-44B7-9B0B-6F788523DC00}"/>
    <cellStyle name="Hipervínculo 2" xfId="135" hidden="1" xr:uid="{F4498756-34D3-4B22-964C-A7DA96C11EEF}"/>
    <cellStyle name="Hipervínculo 2" xfId="152" hidden="1" xr:uid="{79D018E1-7496-491F-BEA9-8501CAF819B4}"/>
    <cellStyle name="Hipervínculo 2" xfId="141" hidden="1" xr:uid="{DFC1C28F-A169-4172-96C0-26F8EBEB651C}"/>
    <cellStyle name="Hipervínculo 2" xfId="112" hidden="1" xr:uid="{454E1975-F70F-41BF-A333-F5D4A9FF802B}"/>
    <cellStyle name="Hipervínculo 2" xfId="144" hidden="1" xr:uid="{3F4F1040-81F4-4CBF-AC99-2DACB74263A6}"/>
    <cellStyle name="Hipervínculo 2" xfId="186" hidden="1" xr:uid="{640F175A-A3D6-4FE9-A1E0-C6C430EBA857}"/>
    <cellStyle name="Hipervínculo 2" xfId="115" hidden="1" xr:uid="{1B0576E8-2435-4530-BD0D-BE635D8EFE88}"/>
    <cellStyle name="Hipervínculo 2" xfId="180" hidden="1" xr:uid="{D9705981-C43F-4824-AD8A-6177E568557A}"/>
    <cellStyle name="Hipervínculo 2" xfId="189" hidden="1" xr:uid="{7D10A2CE-5355-4601-BBE0-7A3C8933151A}"/>
    <cellStyle name="Hipervínculo 2" xfId="188" hidden="1" xr:uid="{FCC17CC1-0C2F-4FA6-B031-C0D4B97E7C15}"/>
    <cellStyle name="Hipervínculo 2" xfId="142" hidden="1" xr:uid="{DCA16621-8229-40BE-9CC4-E294C33C4CE1}"/>
    <cellStyle name="Hipervínculo 2" xfId="125" hidden="1" xr:uid="{5809491F-7DB4-4DBD-A9E5-D6405F2C3EFA}"/>
    <cellStyle name="Hipervínculo 2" xfId="106" hidden="1" xr:uid="{6BFDC052-D617-4A75-A394-F91C0BC8D9C6}"/>
    <cellStyle name="Hipervínculo 2" xfId="151" hidden="1" xr:uid="{ED67E79D-B073-4C05-B590-024C6E149ABE}"/>
    <cellStyle name="Hipervínculo 2" xfId="136" hidden="1" xr:uid="{5F7F906D-EA5D-4D3B-8A0E-938E03BEDFE3}"/>
    <cellStyle name="Hipervínculo 2" xfId="177" hidden="1" xr:uid="{6942DB7A-2606-4D7D-8090-BC7B7C16BFF6}"/>
    <cellStyle name="Hipervínculo 2" xfId="117" hidden="1" xr:uid="{45B1ED8F-9B3A-401F-8864-F59E75824BA0}"/>
    <cellStyle name="Hipervínculo 2" xfId="183" hidden="1" xr:uid="{13B43F3A-70C0-47C9-A1F0-76E3116264D7}"/>
    <cellStyle name="Hipervínculo 2" xfId="128" hidden="1" xr:uid="{7091F1A7-F3AB-4172-8487-FFFE1F1BFA81}"/>
    <cellStyle name="Hipervínculo 2" xfId="149" hidden="1" xr:uid="{0ADDFBD1-4F47-435E-A40B-9421C4F9A796}"/>
    <cellStyle name="Hipervínculo 2" xfId="157" hidden="1" xr:uid="{B34DCECD-7E6C-4F38-9F0B-05F781FD2666}"/>
    <cellStyle name="Hipervínculo 2" xfId="131" hidden="1" xr:uid="{5FD600C1-C24C-4CEF-8E8E-C2548EB92106}"/>
    <cellStyle name="Hipervínculo 2" xfId="134" hidden="1" xr:uid="{72DFB658-3B24-4C23-9CA8-9B99CB9A48DD}"/>
    <cellStyle name="Hipervínculo 2" xfId="161" hidden="1" xr:uid="{71E6AA12-120B-4692-875C-DB5287EA9605}"/>
    <cellStyle name="Hipervínculo 2" xfId="170" hidden="1" xr:uid="{25A2E69F-3321-4F44-BE2E-E19A5F9ACA0E}"/>
    <cellStyle name="Hipervínculo 2" xfId="191" hidden="1" xr:uid="{E984611F-FB52-4EE7-A61E-F38A22B1AA64}"/>
    <cellStyle name="Hipervínculo 2" xfId="104" hidden="1" xr:uid="{A6C42CAB-F541-4649-9684-33AEBC3C5FEB}"/>
    <cellStyle name="Hipervínculo 2" xfId="140" hidden="1" xr:uid="{925D49EB-0420-4E33-B2EE-19A4A8EA8238}"/>
    <cellStyle name="Hipervínculo 2" xfId="163" hidden="1" xr:uid="{81E22861-4411-4A85-85EE-312F772CC26D}"/>
    <cellStyle name="Hipervínculo 2" xfId="202" hidden="1" xr:uid="{1C41A033-B61A-46A9-A05B-EDCAF8E36B00}"/>
    <cellStyle name="Hipervínculo 2" xfId="182" hidden="1" xr:uid="{C1FA6236-A055-4A90-9317-58D26404072C}"/>
    <cellStyle name="Hipervínculo 2" xfId="200" hidden="1" xr:uid="{E4C1218D-B636-4621-BC93-3FCA79576DAA}"/>
    <cellStyle name="Hipervínculo 2" xfId="124" hidden="1" xr:uid="{717C727F-C6A1-491A-9CCF-C600A7BE195B}"/>
    <cellStyle name="Hipervínculo 2" xfId="105" hidden="1" xr:uid="{D6CC9366-DFE7-4522-A0BB-53D4F4166822}"/>
    <cellStyle name="Hipervínculo 2" xfId="123" hidden="1" xr:uid="{1E265B4D-B893-4E23-A544-B5D5ABFE067E}"/>
    <cellStyle name="Hipervínculo 2" xfId="160" hidden="1" xr:uid="{3CC94EB0-1228-4C88-AAE4-5448C29B5B8C}"/>
    <cellStyle name="Hipervínculo 2" xfId="147" hidden="1" xr:uid="{4CC2383B-D0B4-425C-B27E-0E8AE592CEFC}"/>
    <cellStyle name="Hipervínculo 2" xfId="102" hidden="1" xr:uid="{5580A1AE-1772-4DA6-BE92-444D26E79D8D}"/>
    <cellStyle name="Hipervínculo 2" xfId="165" hidden="1" xr:uid="{732CB19D-DD68-4D9B-BCCA-CBC5CE609506}"/>
    <cellStyle name="Hipervínculo 2" xfId="99" hidden="1" xr:uid="{93E65599-1DFD-443D-9B50-01D3CEC68D99}"/>
    <cellStyle name="Hipervínculo 2" xfId="114" hidden="1" xr:uid="{2458D9F6-DCC2-4416-A040-FCC6D1DDAC4C}"/>
    <cellStyle name="Hipervínculo 2" xfId="119" hidden="1" xr:uid="{847B4D2C-14AE-4CA4-B7CB-D88716527E07}"/>
    <cellStyle name="Hipervínculo 2" xfId="184" hidden="1" xr:uid="{B816B7C4-CE26-4E36-B2FA-724B1DC5C98D}"/>
    <cellStyle name="Hipervínculo 2" xfId="143" hidden="1" xr:uid="{31D470C3-6743-4E26-AC63-1905F6701CCD}"/>
    <cellStyle name="Hipervínculo 2" xfId="173" hidden="1" xr:uid="{2A5915BF-4665-4E7D-B789-973E5F9AF92E}"/>
    <cellStyle name="Hipervínculo 2" xfId="120" hidden="1" xr:uid="{A238C957-9968-4B76-9E6A-44BC75ADC8D3}"/>
    <cellStyle name="Hipervínculo 2" xfId="203" hidden="1" xr:uid="{DF3B4183-49BC-4F6F-8EEF-66B8A7405194}"/>
    <cellStyle name="Hipervínculo 2" xfId="176" hidden="1" xr:uid="{4C36879B-3140-4744-8688-C4F4E98D781F}"/>
    <cellStyle name="Hipervínculo 2" xfId="122" hidden="1" xr:uid="{DBAFD46D-BEBD-447A-A4CB-C7EFA2BA7062}"/>
    <cellStyle name="Hipervínculo 2" xfId="98" hidden="1" xr:uid="{A8325611-E511-49D9-80E6-687C38E4F985}"/>
    <cellStyle name="Hipervínculo 2" xfId="158" hidden="1" xr:uid="{73CD3967-2EC8-4BF2-9FEE-1D9C287C843C}"/>
    <cellStyle name="Hipervínculo 2" xfId="111" hidden="1" xr:uid="{C0C5BCC0-56B7-47EB-98F9-3F8327F97370}"/>
    <cellStyle name="Hipervínculo 2" xfId="103" hidden="1" xr:uid="{30B80098-74EA-46EC-AFF3-16679EF1CEEF}"/>
    <cellStyle name="Hipervínculo 2" xfId="185" hidden="1" xr:uid="{3BF782FF-054A-474F-BD10-9791DE32540F}"/>
    <cellStyle name="Hipervínculo 2" xfId="126" hidden="1" xr:uid="{0F073DBC-FF97-460A-B364-9542CF760537}"/>
    <cellStyle name="Hipervínculo 2" xfId="166" hidden="1" xr:uid="{E8AF7302-2B3F-45E1-94E2-5C03709006CD}"/>
    <cellStyle name="Hipervínculo 2" xfId="121" hidden="1" xr:uid="{12244835-A1C9-4FB2-8328-F5193E1AF7F8}"/>
    <cellStyle name="Hipervínculo 2" xfId="181" hidden="1" xr:uid="{720A2A1D-1DB0-44F3-BB2A-004361CE6EFA}"/>
    <cellStyle name="Hipervínculo 2" xfId="196" hidden="1" xr:uid="{F11792E9-C4E6-4B87-A2BC-87A750A2ABC4}"/>
    <cellStyle name="Hipervínculo 2" xfId="118" hidden="1" xr:uid="{0AC732E6-2E8B-4507-B8F1-4C0900D320DE}"/>
    <cellStyle name="Hipervínculo 2" xfId="199" hidden="1" xr:uid="{9A6D8D5B-1CDB-44F8-BF12-9A0565B9B72D}"/>
    <cellStyle name="Hipervínculo 2" xfId="178" hidden="1" xr:uid="{61E64472-3B75-42AB-AAF1-E9DC68CF0032}"/>
    <cellStyle name="Hipervínculo 2" xfId="174" hidden="1" xr:uid="{F3EC3E7B-5ACB-4195-B9D5-B666212F8E0F}"/>
    <cellStyle name="Hipervínculo 2" xfId="201" hidden="1" xr:uid="{1F5D8EBA-2272-40BB-9B57-11DB45627D8C}"/>
    <cellStyle name="Hipervínculo 2" xfId="193" hidden="1" xr:uid="{09F92103-1DFA-436A-A991-12F371C663C0}"/>
    <cellStyle name="Hipervínculo 2" xfId="101" hidden="1" xr:uid="{C88FB0D8-A084-40CA-ADAA-5D793DF43265}"/>
    <cellStyle name="Hipervínculo 2" xfId="195" hidden="1" xr:uid="{F868B183-8EDF-485A-9BB7-438FD1D2EB03}"/>
    <cellStyle name="Hipervínculo 2" xfId="138" hidden="1" xr:uid="{1A62AC67-6202-445D-B63F-54DA149F8746}"/>
    <cellStyle name="Hipervínculo 2" xfId="145" hidden="1" xr:uid="{B2EA5DE6-DB96-43C3-A85A-65657BEE4088}"/>
    <cellStyle name="Hipervínculo 2" xfId="171" hidden="1" xr:uid="{512D58A0-132A-4CCB-8AD5-1DC50F8210CE}"/>
    <cellStyle name="Hipervínculo 2" xfId="179" hidden="1" xr:uid="{8A4E854D-DED1-45E5-BF48-7AE3B9EE731E}"/>
    <cellStyle name="Hipervínculo 2" xfId="150" hidden="1" xr:uid="{CEA7F5B9-C312-4A9A-983D-BADA3D59FCB3}"/>
    <cellStyle name="Hipervínculo 2" xfId="130" hidden="1" xr:uid="{C4503092-750A-4CF6-B48A-9E26E3DBD614}"/>
    <cellStyle name="Hipervínculo 2" xfId="100" hidden="1" xr:uid="{A16E113C-4375-475E-8597-58EFB672E483}"/>
    <cellStyle name="Hipervínculo 2" xfId="197" hidden="1" xr:uid="{EE28E03C-C609-4430-8D16-3DB6412B0101}"/>
    <cellStyle name="Hipervínculo 2" xfId="192" hidden="1" xr:uid="{E43285D2-48E3-4B69-B3DC-63976A0F826E}"/>
    <cellStyle name="Hipervínculo 2" xfId="132" hidden="1" xr:uid="{A9B0E060-B3B8-44E1-9BF2-9225990FF22D}"/>
    <cellStyle name="Hipervínculo 2" xfId="139" hidden="1" xr:uid="{2C6DA3A9-4B89-4A6F-AB9A-1F79079A04C9}"/>
    <cellStyle name="Hipervínculo 2" xfId="175" hidden="1" xr:uid="{A3F9B32B-9125-4B9D-8D46-A03BCB89895E}"/>
    <cellStyle name="Hipervínculo 2" xfId="168" hidden="1" xr:uid="{011483E8-D8F1-4EEC-84DB-C35D81BF7995}"/>
    <cellStyle name="Hipervínculo 2" xfId="107" hidden="1" xr:uid="{9BCE7287-14BC-47A1-9029-A5F07DC85E87}"/>
    <cellStyle name="Hipervínculo 2" xfId="109" hidden="1" xr:uid="{7914202D-DA70-4ACD-BFD0-5E2B0A94C400}"/>
    <cellStyle name="Hipervínculo 2" xfId="194" hidden="1" xr:uid="{5C5A1916-15DC-4428-B305-5E60011AFDC1}"/>
    <cellStyle name="Hipervínculo 2" xfId="169" hidden="1" xr:uid="{53638946-1214-4D87-9640-4854C3FE23EA}"/>
    <cellStyle name="Hipervínculo 2" xfId="159" hidden="1" xr:uid="{18D1E45C-50E0-40DB-9BD0-7AE20B87EF1D}"/>
    <cellStyle name="Hipervínculo 2" xfId="167" hidden="1" xr:uid="{4E358A65-EBC5-48D2-B91D-6FF2FF87DB54}"/>
    <cellStyle name="Hipervínculo 2" xfId="148" hidden="1" xr:uid="{845AB727-0641-45D3-B207-5FEDEF8CFE29}"/>
    <cellStyle name="Hipervínculo 2" xfId="146" hidden="1" xr:uid="{DD49E05C-C9D9-4C6F-8F2D-D2C8A000D5FD}"/>
    <cellStyle name="Hipervínculo 2" xfId="137" hidden="1" xr:uid="{629353FB-DA40-4CBB-9990-69C68759A660}"/>
    <cellStyle name="Hipervínculo 2" xfId="110" hidden="1" xr:uid="{B93C2741-2355-4704-87C4-1576AFD46FAB}"/>
    <cellStyle name="Hipervínculo 2" xfId="156" hidden="1" xr:uid="{559EF887-EF64-46DD-8DF9-A3C468B051D4}"/>
    <cellStyle name="Hipervínculo 2" xfId="155" hidden="1" xr:uid="{0D4D1769-3AD7-455A-B2FA-8C80DF64B21C}"/>
    <cellStyle name="Hipervínculo 2" xfId="198" hidden="1" xr:uid="{908ECFFC-0885-4699-BE1A-8C507AB99486}"/>
    <cellStyle name="Hipervínculo 2" xfId="172" hidden="1" xr:uid="{1270C045-1406-42B9-8A9E-083072F20445}"/>
    <cellStyle name="Hipervínculo 2" xfId="164" hidden="1" xr:uid="{D1841F0E-01AD-4A4B-977D-4C2E8FD34834}"/>
    <cellStyle name="Hipervínculo 2" xfId="133" hidden="1" xr:uid="{381CDDAB-A0C2-4F02-A240-E3ECDBAF0D83}"/>
    <cellStyle name="Hipervínculo 2" xfId="76" hidden="1" xr:uid="{22BFC039-AB2B-4513-BF76-B30B392D2E5F}"/>
    <cellStyle name="Hipervínculo 2" xfId="129" hidden="1" xr:uid="{39C7BA84-9A8A-4D65-9C3E-EA528B8324CE}"/>
    <cellStyle name="Hipervínculo 2" xfId="127" hidden="1" xr:uid="{62D261DF-1468-48C4-879C-81F9CA484735}"/>
    <cellStyle name="Hipervínculo 2" xfId="162" hidden="1" xr:uid="{60EC91C6-2C34-43FE-A73A-9181791E2770}"/>
    <cellStyle name="Hipervínculo 2" xfId="108" hidden="1" xr:uid="{E6492794-A831-40A1-937B-22389FD2C732}"/>
    <cellStyle name="Hipervínculo 2" xfId="187" hidden="1" xr:uid="{9E64D1F6-D274-4D37-A9B9-14B84AEE1E40}"/>
    <cellStyle name="Hipervínculo 2" xfId="204" xr:uid="{F6293D20-CD03-4592-82E0-8C0E70FC1A0A}"/>
    <cellStyle name="Millares" xfId="1" builtinId="3"/>
    <cellStyle name="Millares 2" xfId="3" xr:uid="{E1E48627-DE60-40E6-9336-E520904393B4}"/>
    <cellStyle name="Millares 2 2" xfId="11" xr:uid="{C02F3441-97E5-4D01-B58B-85B838322648}"/>
    <cellStyle name="Millares 2 2 2" xfId="12" xr:uid="{12D36D11-4DDD-4B31-A38F-D5E2CFD1711E}"/>
    <cellStyle name="Millares 2 2 2 2" xfId="205" xr:uid="{E08F8877-91C1-444D-B17B-AD025DE46E73}"/>
    <cellStyle name="Millares 2 2 3" xfId="206" xr:uid="{8596DE8C-4036-4574-BD48-41023ECE5F62}"/>
    <cellStyle name="Millares 2 3" xfId="13" xr:uid="{5D90C651-7639-4D04-83FD-2F8CF118CB47}"/>
    <cellStyle name="Millares 2 3 2" xfId="14" xr:uid="{792B777C-34BC-486A-837E-6F3F3BE6F8BD}"/>
    <cellStyle name="Millares 2 3 2 2" xfId="207" xr:uid="{D93CCE7D-F0E1-46B5-8E27-BF5E5595E471}"/>
    <cellStyle name="Millares 2 3 3" xfId="208" xr:uid="{D2B271D0-2FB8-49C8-919B-7A299A64ED77}"/>
    <cellStyle name="Millares 2 4" xfId="15" xr:uid="{D27D4B04-5506-4912-93ED-805742076371}"/>
    <cellStyle name="Millares 2 4 2" xfId="209" xr:uid="{BD76CD81-87F5-42EB-842C-686A55ABC0E6}"/>
    <cellStyle name="Millares 2 5" xfId="70" xr:uid="{117F698F-0C95-4D3A-AF9A-9112B1768C07}"/>
    <cellStyle name="Millares 2 5 2" xfId="210" xr:uid="{12D480C4-54AE-4734-B6B5-E5540143199B}"/>
    <cellStyle name="Millares 2 6" xfId="211" xr:uid="{8B89A351-1D61-4FF5-A35E-C457443B82A9}"/>
    <cellStyle name="Millares 2 7" xfId="10" xr:uid="{23A522D1-224A-4EF1-ABC2-77341E08B65F}"/>
    <cellStyle name="Millares 3" xfId="16" xr:uid="{A62C23C4-7E03-4DEF-986D-F269B44EE303}"/>
    <cellStyle name="Millares 3 2" xfId="17" xr:uid="{A21F84B4-7949-49C7-96CA-65FC9692136A}"/>
    <cellStyle name="Millares 3 2 2" xfId="212" xr:uid="{FA3CBE19-087F-47F9-94AC-54BB977BAE1C}"/>
    <cellStyle name="Millares 3 3" xfId="82" xr:uid="{928E3380-166D-498F-9B29-917AB502BCA0}"/>
    <cellStyle name="Millares 3 3 2" xfId="213" xr:uid="{9874CA58-A3D3-480D-AE94-D8FB9B52DBD0}"/>
    <cellStyle name="Millares 3 4" xfId="79" xr:uid="{A80AC123-99AD-4648-9650-919F2F8455B0}"/>
    <cellStyle name="Millares 3 4 2" xfId="214" xr:uid="{CB058AFB-46C3-4E95-AA3F-D765D4C8D032}"/>
    <cellStyle name="Millares 3 5" xfId="215" xr:uid="{C939C0BD-CB3F-42EF-A07F-C42906F3D048}"/>
    <cellStyle name="Millares 4" xfId="68" xr:uid="{6051C445-629F-430C-BC85-86AD57D28D86}"/>
    <cellStyle name="Millares 4 2" xfId="216" xr:uid="{863F9454-21CA-42D4-9170-29B54E2CF1F6}"/>
    <cellStyle name="Millares 5" xfId="217" xr:uid="{843A9211-4ACD-4A7C-991A-B7CF13A4D6B2}"/>
    <cellStyle name="Moneda 2" xfId="5" xr:uid="{2F50E47A-C282-4137-A751-4992A3EC140F}"/>
    <cellStyle name="Normal" xfId="0" builtinId="0"/>
    <cellStyle name="Normal 10" xfId="18" xr:uid="{EBB9D25B-F057-486E-849B-B72BBFEE8F10}"/>
    <cellStyle name="Normal 10 2" xfId="86" xr:uid="{4062121B-1B4F-4B3C-812E-72E846C27C2C}"/>
    <cellStyle name="Normal 10 3" xfId="77" xr:uid="{C5B5E828-A49D-4163-9950-D3340036885E}"/>
    <cellStyle name="Normal 11" xfId="80" xr:uid="{D49E800D-7C34-48BD-9865-F9BDE0CF1894}"/>
    <cellStyle name="Normal 11 2" xfId="84" xr:uid="{0E8A7AFD-3274-4056-ACCF-FC91C572C00D}"/>
    <cellStyle name="Normal 12" xfId="69" xr:uid="{C3C50DEE-9E86-48BA-8FF1-DBFF622BF05F}"/>
    <cellStyle name="Normal 12 2" xfId="97" xr:uid="{F5B44359-370A-4A43-A324-551350DAEA62}"/>
    <cellStyle name="Normal 2" xfId="19" xr:uid="{FB1394F3-8714-4230-B098-8B5C54294F2F}"/>
    <cellStyle name="Normal 2 10" xfId="9" xr:uid="{E65F6361-5786-465E-8304-441521F71B2E}"/>
    <cellStyle name="Normal 2 10 2" xfId="20" xr:uid="{DFC67575-6B06-4613-B0B7-DF750615DA44}"/>
    <cellStyle name="Normal 2 10 2 2" xfId="92" xr:uid="{B9B63B2E-70D1-4EC7-ADD4-AA6B75AA9FE8}"/>
    <cellStyle name="Normal 2 10 2 2 2" xfId="94" xr:uid="{EA6B4CAC-A3DE-4FA3-AB29-1DA1B6482A84}"/>
    <cellStyle name="Normal 2 10 3" xfId="83" xr:uid="{C4B9DEC5-0E64-493B-AD2F-5009C59C71FE}"/>
    <cellStyle name="Normal 2 11" xfId="7" xr:uid="{32803CD6-FC25-4F35-BC6F-BCD0D69C7F51}"/>
    <cellStyle name="Normal 2 11 2" xfId="85" xr:uid="{D09B2E13-8C4B-4707-A577-19F929DC9FE3}"/>
    <cellStyle name="Normal 2 12" xfId="21" xr:uid="{4F7899F6-B25D-49BD-A319-4528048A0704}"/>
    <cellStyle name="Normal 2 13" xfId="4" xr:uid="{8E7B21E4-7B52-4F9D-A76B-54CB420C71BD}"/>
    <cellStyle name="Normal 2 2" xfId="22" xr:uid="{24B63E0C-1D89-4CB5-B111-0F61A101C7C5}"/>
    <cellStyle name="Normal 2 2 2" xfId="23" xr:uid="{DA21D2DD-0E0B-43C1-8CA0-EFFCBA0FF97D}"/>
    <cellStyle name="Normal 2 2 2 2" xfId="24" xr:uid="{469A8C27-2577-43E7-A313-A7D556842ECF}"/>
    <cellStyle name="Normal 2 2 2 2 2" xfId="96" xr:uid="{2B03E585-F34A-4AC5-942E-E78AFB98188C}"/>
    <cellStyle name="Normal 2 2 2 3" xfId="89" xr:uid="{B8E8BE3B-6EDF-43EA-B6F8-49265C864B75}"/>
    <cellStyle name="Normal 2 2 2 3 2" xfId="91" xr:uid="{346887DC-1809-4FD6-A64F-E5AC5EEFC767}"/>
    <cellStyle name="Normal 2 2 2 3 2 2" xfId="93" xr:uid="{673722B2-2367-4363-933B-20EE20BB988D}"/>
    <cellStyle name="Normal 2 2 2 3 2 2 2" xfId="95" xr:uid="{EE798D3C-6D3A-436F-BA3C-89E79F004974}"/>
    <cellStyle name="Normal 2 2 3" xfId="25" xr:uid="{26C83233-90CA-4DB8-BC8B-A3D370BCF640}"/>
    <cellStyle name="Normal 2 2 3 2" xfId="26" xr:uid="{B1955ABA-CA02-47FA-9A15-92C92F67065B}"/>
    <cellStyle name="Normal 2 2 4" xfId="8" xr:uid="{BE19B7DB-31C4-481E-A056-9B8E7E606C26}"/>
    <cellStyle name="Normal 2 2 4 2" xfId="27" xr:uid="{68A8DBBD-DA73-4FAB-AEAB-A3F2C20D3CB3}"/>
    <cellStyle name="Normal 2 2 4 3" xfId="88" xr:uid="{71BF75D0-D7EF-407D-AA8D-EA34CBECE77D}"/>
    <cellStyle name="Normal 2 2 5" xfId="28" xr:uid="{F860DD7C-9A8C-443E-A958-B045AB1E9915}"/>
    <cellStyle name="Normal 2 2 6" xfId="87" xr:uid="{D2B7943C-5DC9-4DFB-B002-F94243B30E88}"/>
    <cellStyle name="Normal 2 3" xfId="6" xr:uid="{5EBE1179-8371-4750-B9E9-90416BA6C9F4}"/>
    <cellStyle name="Normal 2 3 2" xfId="29" xr:uid="{07FD8642-3B35-4DB1-A73E-C1250CFEC93A}"/>
    <cellStyle name="Normal 2 3 3" xfId="90" xr:uid="{D6A8563F-07FE-43FD-9151-3C88952B8E64}"/>
    <cellStyle name="Normal 2 3 4" xfId="71" xr:uid="{AD706A1A-66E9-4293-B34B-E3E2B79BC4A3}"/>
    <cellStyle name="Normal 2 4" xfId="30" xr:uid="{A2D845E7-804B-49EF-A5A2-F094018FE8AA}"/>
    <cellStyle name="Normal 2 4 2" xfId="31" xr:uid="{51C2B069-E40C-46A0-A4CD-6C71BB783CEE}"/>
    <cellStyle name="Normal 2 4 3" xfId="72" xr:uid="{E354F79F-A7A6-4AC9-8D11-3052EC3740FB}"/>
    <cellStyle name="Normal 2 5" xfId="32" xr:uid="{8DC1619F-05F6-4378-B098-2A7E85AFC88C}"/>
    <cellStyle name="Normal 2 6" xfId="33" xr:uid="{28B2EE70-4554-4465-8ACB-A06A994DB60B}"/>
    <cellStyle name="Normal 2 6 2" xfId="34" xr:uid="{A6346E39-55D0-4F6E-94F3-DC84961D8513}"/>
    <cellStyle name="Normal 2 7" xfId="35" xr:uid="{F3BF019E-B1D1-4DAF-8DEE-A579331D09BF}"/>
    <cellStyle name="Normal 2 7 2" xfId="36" xr:uid="{8CFC938B-0A44-482F-837F-507CF11D2269}"/>
    <cellStyle name="Normal 2 8" xfId="37" xr:uid="{90134EA8-A609-4E85-8857-344FCCA0B2C7}"/>
    <cellStyle name="Normal 2 8 2" xfId="38" xr:uid="{9F6920FF-FE9B-4270-8830-A232FF555371}"/>
    <cellStyle name="Normal 2 9" xfId="39" xr:uid="{B8E8C8BF-E6EB-4225-AA36-31360E817937}"/>
    <cellStyle name="Normal 2 9 2" xfId="40" xr:uid="{29CEFB11-3F90-4F07-978C-3725C35A7B48}"/>
    <cellStyle name="Normal 3" xfId="41" xr:uid="{0D2D67AC-67BC-4BA4-B3E8-5601EFC50E13}"/>
    <cellStyle name="Normal 3 2" xfId="42" xr:uid="{634EE710-F16D-4BAA-BDC5-8A2C080DF70E}"/>
    <cellStyle name="Normal 3 2 2" xfId="43" xr:uid="{7CE97736-5D61-47DF-9EC6-BB47EA755C57}"/>
    <cellStyle name="Normal 3 3" xfId="44" xr:uid="{2B91D434-8AF6-446A-8D71-C46BCC3EE840}"/>
    <cellStyle name="Normal 3 3 2" xfId="45" xr:uid="{EC6D1AE0-5502-4CC0-BC79-FE69E206614A}"/>
    <cellStyle name="Normal 3 3 3" xfId="81" xr:uid="{193FBC4F-9AD6-409D-8F0B-B3462F27F0D3}"/>
    <cellStyle name="Normal 3 4" xfId="46" xr:uid="{06C7015E-5161-43F3-AB76-4FE723A0AB98}"/>
    <cellStyle name="Normal 4" xfId="47" xr:uid="{1EAB4740-3329-4CAF-A229-21667F32B7EF}"/>
    <cellStyle name="Normal 4 2" xfId="48" xr:uid="{01D26F85-0CDB-4807-92D0-63AA1CFBB912}"/>
    <cellStyle name="Normal 4 3" xfId="49" xr:uid="{D667D459-9385-4C9A-92E2-14AA4352FCF0}"/>
    <cellStyle name="Normal 4 3 2" xfId="50" xr:uid="{03A34218-747F-4E94-8901-8A693EF0999B}"/>
    <cellStyle name="Normal 5" xfId="51" xr:uid="{BD91776F-1937-4DCE-BB39-946630653DA6}"/>
    <cellStyle name="Normal 5 2" xfId="52" xr:uid="{5B3ADE9F-0AFB-4C2B-9885-34100F7874EA}"/>
    <cellStyle name="Normal 5 2 2" xfId="53" xr:uid="{007054DC-4CB0-4A97-8C07-8AED415BD18D}"/>
    <cellStyle name="Normal 5 3" xfId="54" xr:uid="{2F71DA43-C4C0-4559-AFDA-79EAA5C03245}"/>
    <cellStyle name="Normal 5 3 2" xfId="55" xr:uid="{A142C776-A0F7-49F3-803B-E6D824F2B6D5}"/>
    <cellStyle name="Normal 6" xfId="56" xr:uid="{48F601CA-34E7-4F84-A120-312E1A6D8F0F}"/>
    <cellStyle name="Normal 7" xfId="57" xr:uid="{1EC86CF3-4B2D-453E-8E1C-EC2D849884A5}"/>
    <cellStyle name="Normal 7 2" xfId="58" xr:uid="{29827186-9C8B-4FF4-9D1E-E2DBD5970A63}"/>
    <cellStyle name="Normal 8" xfId="59" xr:uid="{8891AA39-B616-42BA-A11A-D3C1E61CBD50}"/>
    <cellStyle name="Normal 8 2" xfId="60" xr:uid="{065BCF3E-A929-4310-A082-9B4DF35CC9CD}"/>
    <cellStyle name="Normal 9" xfId="61" xr:uid="{79D46E7C-3CA7-4534-B2F5-796C038F00D1}"/>
    <cellStyle name="Normal 9 2" xfId="62" xr:uid="{5E13D195-0069-4536-A162-EB31A13BFEB1}"/>
    <cellStyle name="Porcentaje" xfId="2" builtinId="5"/>
    <cellStyle name="Porcentaje 2" xfId="63" xr:uid="{4D2FF0DE-F238-48BC-AFEB-48128103803F}"/>
    <cellStyle name="Porcentaje 2 2" xfId="73" xr:uid="{457880C0-DEEB-4487-90A0-7D1AC8ABAAC9}"/>
    <cellStyle name="Porcentaje 3" xfId="64" xr:uid="{D18733A1-4B3C-40C3-B90B-268B063FFBB5}"/>
    <cellStyle name="Porcentaje 3 2" xfId="65" xr:uid="{F6016D0A-CB66-4F85-AEE7-3D81A9C1D9A7}"/>
    <cellStyle name="Porcentaje 4" xfId="66" xr:uid="{DE323415-188D-49FA-B6F0-004CADC6E391}"/>
    <cellStyle name="Porcentaje 4 2" xfId="67" xr:uid="{C2765300-A458-48DA-9854-411BDA13E626}"/>
    <cellStyle name="Porcentaje 5" xfId="74" xr:uid="{4E1DEBD0-33D4-4C3C-80BE-924978C2CDE0}"/>
    <cellStyle name="Porcentaje 6" xfId="75" xr:uid="{7A3DBF5C-F4E8-43F4-BA40-0CEB8BEB9056}"/>
    <cellStyle name="Porcentaje 7" xfId="78" xr:uid="{1D6C82BA-F8A0-4A95-81D1-6FABFE957DA7}"/>
  </cellStyles>
  <dxfs count="2"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  <border>
        <left/>
        <right/>
        <top/>
        <bottom/>
        <vertical/>
        <horizontal/>
      </border>
    </dxf>
  </dxfs>
  <tableStyles count="1" defaultTableStyle="TableStyleMedium2" defaultPivotStyle="PivotStyleLight16">
    <tableStyle name="Invisible" pivot="0" table="0" count="0" xr9:uid="{1C68FB6B-E208-4DE3-8BC9-0FA71DEC1E82}"/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TC!A1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171450</xdr:colOff>
      <xdr:row>6</xdr:row>
      <xdr:rowOff>152400</xdr:rowOff>
    </xdr:from>
    <xdr:to>
      <xdr:col>10</xdr:col>
      <xdr:colOff>990250</xdr:colOff>
      <xdr:row>13</xdr:row>
      <xdr:rowOff>180805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214DB76-5B10-B238-15BB-914F3033C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06025" y="1295400"/>
          <a:ext cx="2800000" cy="13619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314325</xdr:colOff>
      <xdr:row>1</xdr:row>
      <xdr:rowOff>66676</xdr:rowOff>
    </xdr:from>
    <xdr:to>
      <xdr:col>17</xdr:col>
      <xdr:colOff>180975</xdr:colOff>
      <xdr:row>3</xdr:row>
      <xdr:rowOff>175434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71000B2-FDD4-27EB-F788-A364CCDD5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58125" y="257176"/>
          <a:ext cx="1924050" cy="48975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983876</xdr:colOff>
      <xdr:row>0</xdr:row>
      <xdr:rowOff>116859</xdr:rowOff>
    </xdr:from>
    <xdr:to>
      <xdr:col>17</xdr:col>
      <xdr:colOff>838200</xdr:colOff>
      <xdr:row>2</xdr:row>
      <xdr:rowOff>65555</xdr:rowOff>
    </xdr:to>
    <xdr:pic>
      <xdr:nvPicPr>
        <xdr:cNvPr id="2" name="Imagen 1" descr="cid:image001.jpg@01D48D84.7D9B0D60">
          <a:extLst>
            <a:ext uri="{FF2B5EF4-FFF2-40B4-BE49-F238E27FC236}">
              <a16:creationId xmlns:a16="http://schemas.microsoft.com/office/drawing/2014/main" id="{2504D964-0025-4A13-AA5D-AA79A42EB0B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018" t="8555" r="3116"/>
        <a:stretch/>
      </xdr:blipFill>
      <xdr:spPr bwMode="auto">
        <a:xfrm>
          <a:off x="13080626" y="116859"/>
          <a:ext cx="2006974" cy="3773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178734</xdr:colOff>
      <xdr:row>0</xdr:row>
      <xdr:rowOff>134470</xdr:rowOff>
    </xdr:from>
    <xdr:to>
      <xdr:col>1</xdr:col>
      <xdr:colOff>1464603</xdr:colOff>
      <xdr:row>2</xdr:row>
      <xdr:rowOff>111017</xdr:rowOff>
    </xdr:to>
    <xdr:pic>
      <xdr:nvPicPr>
        <xdr:cNvPr id="3" name="4 Imagen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CC27EA2-ECB4-4E7B-9719-EEC036B58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8734" y="134470"/>
          <a:ext cx="1466844" cy="40517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470186</xdr:colOff>
      <xdr:row>4</xdr:row>
      <xdr:rowOff>114300</xdr:rowOff>
    </xdr:from>
    <xdr:to>
      <xdr:col>19</xdr:col>
      <xdr:colOff>482877</xdr:colOff>
      <xdr:row>29</xdr:row>
      <xdr:rowOff>28575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EA633B-ACAF-9624-4D6A-5C97917AF6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900186" y="876300"/>
          <a:ext cx="3794116" cy="4676775"/>
        </a:xfrm>
        <a:prstGeom prst="rect">
          <a:avLst/>
        </a:prstGeom>
      </xdr:spPr>
    </xdr:pic>
    <xdr:clientData/>
  </xdr:twoCellAnchor>
  <xdr:twoCellAnchor editAs="oneCell">
    <xdr:from>
      <xdr:col>10</xdr:col>
      <xdr:colOff>152400</xdr:colOff>
      <xdr:row>4</xdr:row>
      <xdr:rowOff>85725</xdr:rowOff>
    </xdr:from>
    <xdr:to>
      <xdr:col>18</xdr:col>
      <xdr:colOff>647700</xdr:colOff>
      <xdr:row>29</xdr:row>
      <xdr:rowOff>28575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9E79A87-0861-E62D-AFA6-864A5DD30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847725"/>
          <a:ext cx="7324725" cy="470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xperiencia01\REPORTES_EXP.COMPRA\Desktop_Old\SPEECH%20EXPLORER\Update%20SE\20190821%20-%20SE%20-%20TABLAS\Speech%20Explorer%20PPE_02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SPEECH%20EXPLORER/PRESTAMOS/Speech%20Explorer%20PPE_202201P.xlsm" TargetMode="External"/><Relationship Id="rId1" Type="http://schemas.openxmlformats.org/officeDocument/2006/relationships/externalLinkPath" Target="/SPEECH%20EXPLORER/PRESTAMOS/Speech%20Explorer%20PPE_202201P.xlsm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rluquet_intercorp_com_pe/Documents/Archivos%20de%20chat%20de%20Microsoft%20Teams/06%20Speech%20Explorer%20EC_202410%20(con%20desgravamen).xlsm" TargetMode="External"/><Relationship Id="rId2" Type="http://schemas.openxmlformats.org/officeDocument/2006/relationships/externalLinkPath" Target="https://interbankpe-my.sharepoint.com/personal/gherreramau_intercorp_com_pe/Documents/Documentos/10%20Oct%202024/06%20Speech%20Explorer%20EC_202410%20(con%20desgravamen).xlsm" TargetMode="External"/><Relationship Id="rId1" Type="http://schemas.openxmlformats.org/officeDocument/2006/relationships/externalLinkPath" Target="/personal/rluquet_intercorp_com_pe/Documents/Archivos%20de%20chat%20de%20Microsoft%20Teams/06%20Speech%20Explorer%20EC_202410%20(con%20desgravamen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peech"/>
      <sheetName val="Hoja3"/>
      <sheetName val="Listas"/>
      <sheetName val="PPE Protegido"/>
      <sheetName val="Red_Tiendas"/>
      <sheetName val="Frases"/>
      <sheetName val="Frases_otras"/>
      <sheetName val="Hoja1"/>
    </sheetNames>
    <sheetDataSet>
      <sheetData sheetId="0"/>
      <sheetData sheetId="1"/>
      <sheetData sheetId="2"/>
      <sheetData sheetId="3"/>
      <sheetData sheetId="4"/>
      <sheetData sheetId="5">
        <row r="3">
          <cell r="A3" t="str">
            <v>SEGMENTOS</v>
          </cell>
        </row>
        <row r="17">
          <cell r="A17" t="str">
            <v>SEGMENTOS</v>
          </cell>
          <cell r="B17" t="str">
            <v>Frases/Beneficios</v>
          </cell>
        </row>
        <row r="18">
          <cell r="A18" t="str">
            <v>S2A</v>
          </cell>
          <cell r="B18" t="str">
            <v>Tiene desde 6 hasta 60 meses para financiarlo. (indicar el plazo máximo que indica Siebel).</v>
          </cell>
        </row>
        <row r="19">
          <cell r="A19" t="str">
            <v>S2B</v>
          </cell>
          <cell r="B19" t="str">
            <v>Puede hacer pagos adelantados y/o cancelaciones anticipadas sin penalidad alguna.</v>
          </cell>
        </row>
        <row r="20">
          <cell r="A20" t="str">
            <v>S2C</v>
          </cell>
          <cell r="B20" t="str">
            <v xml:space="preserve">Además, por tener o trasladar su Cuenta Sueldo con Interbank y recibir los abonos de su empleador mensualmente, le devolveremos parte de su cuota en cashback. Con cashback, puede ahorrar más de una cuota durante todo el préstamo. </v>
          </cell>
        </row>
        <row r="21">
          <cell r="A21" t="str">
            <v>S2D</v>
          </cell>
          <cell r="B21" t="str">
            <v xml:space="preserve">¡Y lo mejor de todo es que Interbank le regala el primer cashback! </v>
          </cell>
        </row>
        <row r="22">
          <cell r="A22" t="str">
            <v>S3A</v>
          </cell>
          <cell r="B22" t="str">
            <v>Tiene desde 6 hasta 60 meses para financiarlo. (indicar el plazo máximo que indica Siebel).</v>
          </cell>
        </row>
        <row r="23">
          <cell r="A23" t="str">
            <v>S3B</v>
          </cell>
          <cell r="B23" t="str">
            <v>Puede hacer pagos adelantados y/o cancelaciones anticipadas sin penalidad alguna.</v>
          </cell>
        </row>
        <row r="24">
          <cell r="A24" t="str">
            <v>S3C</v>
          </cell>
          <cell r="B24" t="str">
            <v xml:space="preserve">Además, por tener o trasladar su Cuenta Sueldo con Interbank y recibir los abonos de su empleador mensualmente, le devolveremos parte de su cuota en cashback. Con cashback, puede ahorrar más de una cuota durante todo el préstamo. </v>
          </cell>
        </row>
        <row r="25">
          <cell r="A25" t="str">
            <v>S3D</v>
          </cell>
          <cell r="B25" t="str">
            <v xml:space="preserve">¡Y lo mejor de todo es que Interbank le regala el primer cashback! </v>
          </cell>
        </row>
        <row r="26">
          <cell r="A26" t="str">
            <v>MTSA</v>
          </cell>
          <cell r="B26" t="str">
            <v>Tiene desde 6 hasta 60 meses para financiarlo. (indicar el plazo máximo que indica Siebel).</v>
          </cell>
        </row>
        <row r="27">
          <cell r="A27" t="str">
            <v>MTSB</v>
          </cell>
          <cell r="B27" t="str">
            <v>Puede hacer pagos adelantados y/o cancelaciones anticipadas sin penalidad alguna.</v>
          </cell>
        </row>
        <row r="28">
          <cell r="A28" t="str">
            <v>MTSC</v>
          </cell>
          <cell r="B28" t="str">
            <v xml:space="preserve">Además, por tener o trasladar su Cuenta Sueldo con Interbank y recibir los abonos de su empleador mensualmente, le devolveremos parte de su cuota en cashback. Con cashback, puede ahorrar más de una cuota durante todo el préstamo. </v>
          </cell>
        </row>
        <row r="29">
          <cell r="A29" t="str">
            <v>MTSD</v>
          </cell>
          <cell r="B29" t="str">
            <v xml:space="preserve">¡Y lo mejor de todo es que Interbank le regala el primer cashback! </v>
          </cell>
        </row>
      </sheetData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tos"/>
      <sheetName val="Cronograma"/>
      <sheetName val="Configuracion"/>
      <sheetName val="Hoja1"/>
      <sheetName val="S.Desempleo"/>
      <sheetName val="Speech"/>
      <sheetName val="HTML"/>
      <sheetName val="Concatenados"/>
      <sheetName val="CONCAT2"/>
      <sheetName val="CV"/>
      <sheetName val="COYUNTURA"/>
      <sheetName val="Frases"/>
      <sheetName val="Plazos"/>
      <sheetName val="Listas"/>
      <sheetName val="PPE Protegido"/>
      <sheetName val="Red_Tiendas"/>
      <sheetName val="Frases_2"/>
      <sheetName val="Conver"/>
      <sheetName val="CorreoEnviados"/>
      <sheetName val="Botones"/>
      <sheetName val="Speech Explorer PPE_202201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C"/>
      <sheetName val="Piloto EC + CS"/>
      <sheetName val="Speech 1 - Cluster Inicial "/>
      <sheetName val="Cluster 2 - Crecimiento"/>
      <sheetName val="Cluster 3 - Madurez "/>
      <sheetName val="Cluster 4 - Declive"/>
      <sheetName val="DobleFactor"/>
      <sheetName val="Botones"/>
      <sheetName val="Listas"/>
      <sheetName val="CONCAT"/>
      <sheetName val="CONCAT_2"/>
      <sheetName val="COYUNTURA"/>
      <sheetName val="FrasesEC"/>
      <sheetName val="TCEA"/>
      <sheetName val="Detalle del Seguro"/>
      <sheetName val="Plan de protección"/>
      <sheetName val="Simulador"/>
      <sheetName val="SEG_PRIMA"/>
      <sheetName val="Sim"/>
      <sheetName val="No Laborables"/>
      <sheetName val="Convertidor"/>
      <sheetName val="PA"/>
      <sheetName val="Frases_otras"/>
      <sheetName val="HTML"/>
      <sheetName val="EC+SEG (2)"/>
      <sheetName val="Cobertura Protección Full"/>
      <sheetName val="Detalle del Seguro (2)"/>
      <sheetName val="Cobertura Vive Salu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Tema de Office">
  <a:themeElements>
    <a:clrScheme name="Interbank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415AA6"/>
      </a:accent1>
      <a:accent2>
        <a:srgbClr val="307373"/>
      </a:accent2>
      <a:accent3>
        <a:srgbClr val="36BF66"/>
      </a:accent3>
      <a:accent4>
        <a:srgbClr val="2EA658"/>
      </a:accent4>
      <a:accent5>
        <a:srgbClr val="F2F2F2"/>
      </a:accent5>
      <a:accent6>
        <a:srgbClr val="C00000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7B62A1-107D-4F7F-A7DC-1A2FAB1430E3}">
  <sheetPr codeName="Hoja1"/>
  <dimension ref="B4:R27"/>
  <sheetViews>
    <sheetView workbookViewId="0">
      <selection activeCell="C36" sqref="C36"/>
    </sheetView>
  </sheetViews>
  <sheetFormatPr baseColWidth="10" defaultColWidth="11.453125" defaultRowHeight="14.5" x14ac:dyDescent="0.35"/>
  <cols>
    <col min="2" max="2" width="23.453125" bestFit="1" customWidth="1"/>
    <col min="3" max="3" width="39.81640625" customWidth="1"/>
    <col min="4" max="14" width="14.81640625" customWidth="1"/>
  </cols>
  <sheetData>
    <row r="4" spans="2:9" x14ac:dyDescent="0.35">
      <c r="B4" t="s">
        <v>0</v>
      </c>
      <c r="E4" t="s">
        <v>1</v>
      </c>
    </row>
    <row r="5" spans="2:9" x14ac:dyDescent="0.35">
      <c r="B5" s="5" t="s">
        <v>2</v>
      </c>
      <c r="C5" s="6" t="s">
        <v>3</v>
      </c>
      <c r="I5" t="s">
        <v>4</v>
      </c>
    </row>
    <row r="6" spans="2:9" x14ac:dyDescent="0.35">
      <c r="B6" s="5" t="s">
        <v>5</v>
      </c>
      <c r="C6" s="6" t="s">
        <v>6</v>
      </c>
    </row>
    <row r="7" spans="2:9" x14ac:dyDescent="0.35">
      <c r="B7" s="5" t="s">
        <v>7</v>
      </c>
      <c r="C7" s="6">
        <v>12</v>
      </c>
      <c r="E7" t="s">
        <v>8</v>
      </c>
    </row>
    <row r="8" spans="2:9" x14ac:dyDescent="0.35">
      <c r="B8" s="5" t="s">
        <v>9</v>
      </c>
      <c r="C8" s="7">
        <v>10000</v>
      </c>
      <c r="E8" t="s">
        <v>10</v>
      </c>
    </row>
    <row r="10" spans="2:9" x14ac:dyDescent="0.35">
      <c r="B10" s="5" t="s">
        <v>11</v>
      </c>
      <c r="C10" s="9">
        <v>45589</v>
      </c>
    </row>
    <row r="11" spans="2:9" x14ac:dyDescent="0.35">
      <c r="B11" s="5" t="s">
        <v>12</v>
      </c>
      <c r="C11" s="6">
        <v>24</v>
      </c>
    </row>
    <row r="12" spans="2:9" x14ac:dyDescent="0.35">
      <c r="B12" s="5" t="s">
        <v>13</v>
      </c>
      <c r="C12" s="6">
        <v>0</v>
      </c>
    </row>
    <row r="13" spans="2:9" x14ac:dyDescent="0.35">
      <c r="B13" s="5" t="s">
        <v>14</v>
      </c>
      <c r="C13" s="10">
        <v>0.15</v>
      </c>
    </row>
    <row r="15" spans="2:9" x14ac:dyDescent="0.35">
      <c r="B15" s="11" t="s">
        <v>15</v>
      </c>
      <c r="C15" s="4">
        <f>+IF(C6="1. Sin Seguro de Desgravamen",0,IF(C6="2. Seguro de Desgravamen Tradicional",0.075%,0.085%))</f>
        <v>8.5000000000000006E-4</v>
      </c>
      <c r="F15" s="8">
        <f>+EOMONTH(C10,0)</f>
        <v>45596</v>
      </c>
      <c r="G15" s="8">
        <f>+EOMONTH(C10,0)+C11</f>
        <v>45620</v>
      </c>
    </row>
    <row r="16" spans="2:9" x14ac:dyDescent="0.35">
      <c r="B16" s="11" t="s">
        <v>16</v>
      </c>
      <c r="C16" s="3">
        <f>+(1+C13)^(1/360)-1</f>
        <v>3.883029878035682E-4</v>
      </c>
      <c r="G16">
        <f>+G15-F15</f>
        <v>24</v>
      </c>
    </row>
    <row r="19" spans="5:18" x14ac:dyDescent="0.35">
      <c r="E19" s="1" t="s">
        <v>17</v>
      </c>
      <c r="F19" s="205" t="s">
        <v>18</v>
      </c>
      <c r="G19" s="205"/>
      <c r="H19" s="2" t="s">
        <v>19</v>
      </c>
      <c r="I19" s="205" t="s">
        <v>20</v>
      </c>
      <c r="J19" s="205"/>
      <c r="K19" s="203" t="s">
        <v>21</v>
      </c>
      <c r="L19" s="204"/>
      <c r="M19" s="205" t="s">
        <v>22</v>
      </c>
      <c r="N19" s="205"/>
      <c r="O19" s="203" t="s">
        <v>23</v>
      </c>
      <c r="P19" s="204"/>
      <c r="Q19" s="203" t="s">
        <v>24</v>
      </c>
      <c r="R19" s="204"/>
    </row>
    <row r="20" spans="5:18" x14ac:dyDescent="0.35">
      <c r="E20">
        <v>1</v>
      </c>
    </row>
    <row r="21" spans="5:18" x14ac:dyDescent="0.35">
      <c r="E21">
        <f>+E20+1</f>
        <v>2</v>
      </c>
    </row>
    <row r="22" spans="5:18" x14ac:dyDescent="0.35">
      <c r="E22">
        <v>3</v>
      </c>
    </row>
    <row r="23" spans="5:18" x14ac:dyDescent="0.35">
      <c r="E23">
        <v>4</v>
      </c>
    </row>
    <row r="24" spans="5:18" x14ac:dyDescent="0.35">
      <c r="G24" s="14">
        <f>+EOMONTH(C10,0)+C11</f>
        <v>45620</v>
      </c>
    </row>
    <row r="25" spans="5:18" x14ac:dyDescent="0.35">
      <c r="E25" s="12" t="s">
        <v>25</v>
      </c>
      <c r="F25" s="12" t="s">
        <v>26</v>
      </c>
      <c r="G25" s="12" t="s">
        <v>27</v>
      </c>
      <c r="H25" s="12" t="s">
        <v>28</v>
      </c>
      <c r="I25" s="12" t="s">
        <v>20</v>
      </c>
      <c r="J25" s="12" t="s">
        <v>29</v>
      </c>
      <c r="K25" s="12" t="s">
        <v>30</v>
      </c>
      <c r="L25" s="12" t="s">
        <v>31</v>
      </c>
      <c r="M25" s="12" t="s">
        <v>22</v>
      </c>
      <c r="N25" s="12" t="s">
        <v>23</v>
      </c>
      <c r="O25" s="12" t="s">
        <v>24</v>
      </c>
    </row>
    <row r="26" spans="5:18" x14ac:dyDescent="0.35">
      <c r="E26" s="13">
        <v>1</v>
      </c>
      <c r="F26" s="14">
        <f>+C10</f>
        <v>45589</v>
      </c>
      <c r="G26" s="14">
        <f>+IF((EOMONTH(C10,0)+C11)-C10&lt;30,EOMONTH(C10,1)+C11,EOMONTH(C10,0)+C11)</f>
        <v>45620</v>
      </c>
      <c r="H26" s="13">
        <f>IFERROR(G26-F26,"")</f>
        <v>31</v>
      </c>
      <c r="I26" s="15">
        <f>+C8</f>
        <v>10000</v>
      </c>
      <c r="J26" s="16">
        <f>+I26*C15</f>
        <v>8.5</v>
      </c>
      <c r="K26" s="13" t="str">
        <f>IF(E26&lt;=$G$30,IF($G$8="Préstamo Efectivo",5,IF($G$8="Préstamo Senior",0,IF($G$8="Consolidación de Deuda",0))),"")</f>
        <v/>
      </c>
      <c r="L26" s="13"/>
      <c r="M26" s="17" t="str">
        <f>IF(E26&lt;=$G$30,O26-N26-SUM(J26:L26),"")</f>
        <v/>
      </c>
      <c r="N26" s="17" t="str">
        <f>IF(E26&lt;=$G$30,I26*((1+$AB$2)^H26-1),"")</f>
        <v/>
      </c>
      <c r="O26" s="17" t="str">
        <f>IF(E26&lt;=$G$30,$AN$5+SUM(J26:L26),"")</f>
        <v/>
      </c>
    </row>
    <row r="27" spans="5:18" x14ac:dyDescent="0.35">
      <c r="F27" s="14">
        <f>IF(E27&lt;=$C$7,G26,"")</f>
        <v>45620</v>
      </c>
    </row>
  </sheetData>
  <mergeCells count="6">
    <mergeCell ref="Q19:R19"/>
    <mergeCell ref="F19:G19"/>
    <mergeCell ref="I19:J19"/>
    <mergeCell ref="K19:L19"/>
    <mergeCell ref="M19:N19"/>
    <mergeCell ref="O19:P19"/>
  </mergeCells>
  <dataValidations count="2">
    <dataValidation type="date" operator="greaterThan" allowBlank="1" showInputMessage="1" showErrorMessage="1" sqref="C10" xr:uid="{FE2F11CB-7788-4A01-9D04-11D11D5B1A98}">
      <formula1>45566</formula1>
    </dataValidation>
    <dataValidation type="list" allowBlank="1" showInputMessage="1" showErrorMessage="1" sqref="C6" xr:uid="{81AD6852-446F-4D0A-BD65-68E1B5EDBD94}">
      <formula1>#REF!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A47C3-DFD7-415D-AAD5-836D25932F4C}">
  <sheetPr codeName="Hoja3"/>
  <dimension ref="A1:V120"/>
  <sheetViews>
    <sheetView showGridLines="0" tabSelected="1" zoomScale="94" zoomScaleNormal="100" workbookViewId="0">
      <selection activeCell="G27" sqref="G27"/>
    </sheetView>
  </sheetViews>
  <sheetFormatPr baseColWidth="10" defaultColWidth="0" defaultRowHeight="14.5" zeroHeight="1" x14ac:dyDescent="0.35"/>
  <cols>
    <col min="1" max="3" width="3.7265625" style="26" customWidth="1"/>
    <col min="4" max="4" width="4.7265625" style="26" customWidth="1"/>
    <col min="5" max="5" width="14.1796875" style="26" customWidth="1"/>
    <col min="6" max="6" width="24.453125" style="26" customWidth="1"/>
    <col min="7" max="7" width="21.26953125" style="19" bestFit="1" customWidth="1"/>
    <col min="8" max="8" width="4.7265625" style="26" customWidth="1"/>
    <col min="9" max="9" width="11.54296875" style="26" customWidth="1"/>
    <col min="10" max="11" width="7.54296875" style="26" customWidth="1"/>
    <col min="12" max="12" width="4.7265625" style="26" customWidth="1"/>
    <col min="13" max="14" width="11.453125" style="26" customWidth="1"/>
    <col min="15" max="15" width="12.7265625" style="26" customWidth="1"/>
    <col min="16" max="16" width="4.7265625" style="26" customWidth="1"/>
    <col min="17" max="19" width="3.7265625" style="26" customWidth="1"/>
    <col min="20" max="20" width="11.453125" style="26" customWidth="1"/>
    <col min="21" max="16384" width="11.453125" style="26" hidden="1"/>
  </cols>
  <sheetData>
    <row r="1" spans="2:18" x14ac:dyDescent="0.35"/>
    <row r="2" spans="2:18" x14ac:dyDescent="0.35">
      <c r="B2" s="23"/>
      <c r="C2" s="24"/>
      <c r="D2" s="24"/>
      <c r="E2" s="24"/>
      <c r="F2" s="24"/>
      <c r="G2" s="18"/>
      <c r="H2" s="24"/>
      <c r="I2" s="24"/>
      <c r="J2" s="24"/>
      <c r="K2" s="24"/>
      <c r="L2" s="24"/>
      <c r="M2" s="24"/>
      <c r="N2" s="24"/>
      <c r="O2" s="24"/>
      <c r="P2" s="24"/>
      <c r="Q2" s="24"/>
      <c r="R2" s="25"/>
    </row>
    <row r="3" spans="2:18" x14ac:dyDescent="0.35">
      <c r="B3" s="27"/>
      <c r="E3" s="183" t="s">
        <v>32</v>
      </c>
      <c r="F3" s="183"/>
      <c r="G3" s="183"/>
      <c r="H3" s="183"/>
      <c r="I3" s="183"/>
      <c r="J3" s="183"/>
      <c r="K3" s="183"/>
      <c r="L3" s="183"/>
      <c r="M3" s="183"/>
      <c r="N3" s="183"/>
      <c r="O3" s="183"/>
      <c r="R3" s="28"/>
    </row>
    <row r="4" spans="2:18" x14ac:dyDescent="0.35">
      <c r="B4" s="27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R4" s="28"/>
    </row>
    <row r="5" spans="2:18" x14ac:dyDescent="0.35">
      <c r="B5" s="27"/>
      <c r="R5" s="28"/>
    </row>
    <row r="6" spans="2:18" x14ac:dyDescent="0.35">
      <c r="B6" s="27"/>
      <c r="D6" s="23"/>
      <c r="E6" s="24"/>
      <c r="F6" s="24"/>
      <c r="G6" s="18"/>
      <c r="H6" s="25"/>
      <c r="L6" s="23"/>
      <c r="M6" s="24"/>
      <c r="N6" s="24"/>
      <c r="O6" s="18"/>
      <c r="P6" s="25"/>
      <c r="R6" s="28"/>
    </row>
    <row r="7" spans="2:18" ht="27.75" customHeight="1" x14ac:dyDescent="0.35">
      <c r="B7" s="27"/>
      <c r="C7" s="191" t="s">
        <v>33</v>
      </c>
      <c r="D7" s="192"/>
      <c r="E7" s="193"/>
      <c r="H7" s="28"/>
      <c r="K7" s="191" t="s">
        <v>34</v>
      </c>
      <c r="L7" s="192"/>
      <c r="M7" s="193"/>
      <c r="P7" s="28"/>
      <c r="R7" s="28"/>
    </row>
    <row r="8" spans="2:18" x14ac:dyDescent="0.35">
      <c r="B8" s="27"/>
      <c r="D8" s="23"/>
      <c r="H8" s="28"/>
      <c r="L8" s="23"/>
      <c r="P8" s="28"/>
      <c r="R8" s="28"/>
    </row>
    <row r="9" spans="2:18" x14ac:dyDescent="0.35">
      <c r="B9" s="27"/>
      <c r="D9" s="27"/>
      <c r="E9" s="185" t="s">
        <v>35</v>
      </c>
      <c r="F9" s="186"/>
      <c r="G9" s="177" t="s">
        <v>36</v>
      </c>
      <c r="H9" s="28"/>
      <c r="L9" s="27"/>
      <c r="M9" s="188" t="s">
        <v>37</v>
      </c>
      <c r="N9" s="189"/>
      <c r="O9" s="21">
        <f>+G52</f>
        <v>11323.05510594103</v>
      </c>
      <c r="P9" s="28"/>
      <c r="R9" s="28"/>
    </row>
    <row r="10" spans="2:18" x14ac:dyDescent="0.35">
      <c r="B10" s="27"/>
      <c r="D10" s="27"/>
      <c r="H10" s="28"/>
      <c r="L10" s="27"/>
      <c r="P10" s="28"/>
      <c r="R10" s="28"/>
    </row>
    <row r="11" spans="2:18" x14ac:dyDescent="0.35">
      <c r="B11" s="27"/>
      <c r="D11" s="27"/>
      <c r="E11" s="184" t="s">
        <v>11</v>
      </c>
      <c r="F11" s="184"/>
      <c r="G11" s="178">
        <v>46107</v>
      </c>
      <c r="H11" s="28"/>
      <c r="L11" s="27"/>
      <c r="M11" s="187" t="s">
        <v>38</v>
      </c>
      <c r="N11" s="187"/>
      <c r="O11" s="32">
        <f ca="1">+'Simulador DATOS'!$C$10</f>
        <v>0.13211814049931547</v>
      </c>
      <c r="P11" s="28"/>
      <c r="R11" s="28"/>
    </row>
    <row r="12" spans="2:18" x14ac:dyDescent="0.35">
      <c r="B12" s="27"/>
      <c r="D12" s="27"/>
      <c r="E12" s="140"/>
      <c r="F12" s="140"/>
      <c r="H12" s="28"/>
      <c r="L12" s="27"/>
      <c r="O12" s="19"/>
      <c r="P12" s="28"/>
      <c r="R12" s="28"/>
    </row>
    <row r="13" spans="2:18" x14ac:dyDescent="0.35">
      <c r="B13" s="27"/>
      <c r="D13" s="27"/>
      <c r="E13" s="148" t="s">
        <v>39</v>
      </c>
      <c r="F13" s="148"/>
      <c r="G13" s="177">
        <v>11300</v>
      </c>
      <c r="H13" s="28"/>
      <c r="L13" s="27"/>
      <c r="M13" s="188" t="s">
        <v>40</v>
      </c>
      <c r="N13" s="189"/>
      <c r="O13" s="130">
        <f ca="1">+MIN(O52:P53)</f>
        <v>254.59</v>
      </c>
      <c r="P13" s="28"/>
      <c r="R13" s="28"/>
    </row>
    <row r="14" spans="2:18" x14ac:dyDescent="0.35">
      <c r="B14" s="27"/>
      <c r="D14" s="27"/>
      <c r="E14" s="140"/>
      <c r="F14" s="140"/>
      <c r="H14" s="28"/>
      <c r="L14" s="27"/>
      <c r="O14" s="19"/>
      <c r="P14" s="28"/>
      <c r="R14" s="28"/>
    </row>
    <row r="15" spans="2:18" x14ac:dyDescent="0.35">
      <c r="B15" s="27"/>
      <c r="D15" s="27"/>
      <c r="E15" s="185" t="s">
        <v>41</v>
      </c>
      <c r="F15" s="186"/>
      <c r="G15" s="177">
        <v>60</v>
      </c>
      <c r="H15" s="28"/>
      <c r="L15" s="27"/>
      <c r="M15" s="145" t="s">
        <v>42</v>
      </c>
      <c r="N15" s="145"/>
      <c r="O15" s="20">
        <f>+F52</f>
        <v>46143</v>
      </c>
      <c r="P15" s="28"/>
      <c r="R15" s="28"/>
    </row>
    <row r="16" spans="2:18" x14ac:dyDescent="0.35">
      <c r="B16" s="27"/>
      <c r="D16" s="27"/>
      <c r="E16" s="141"/>
      <c r="F16" s="140"/>
      <c r="H16" s="28"/>
      <c r="L16" s="27"/>
      <c r="P16" s="28"/>
      <c r="R16" s="28"/>
    </row>
    <row r="17" spans="2:22" x14ac:dyDescent="0.35">
      <c r="B17" s="27"/>
      <c r="D17" s="27"/>
      <c r="E17" s="185" t="s">
        <v>43</v>
      </c>
      <c r="F17" s="186"/>
      <c r="G17" s="179">
        <v>0.12</v>
      </c>
      <c r="H17" s="28"/>
      <c r="L17" s="27"/>
      <c r="M17" s="145" t="s">
        <v>44</v>
      </c>
      <c r="N17" s="145"/>
      <c r="O17" s="130">
        <f ca="1">+SUM('Simulador DATOS'!O9:O128)</f>
        <v>11323.055105941028</v>
      </c>
      <c r="Q17" s="27"/>
      <c r="R17" s="28"/>
    </row>
    <row r="18" spans="2:22" x14ac:dyDescent="0.35">
      <c r="B18" s="27"/>
      <c r="D18" s="27"/>
      <c r="E18" s="140"/>
      <c r="F18" s="140"/>
      <c r="H18" s="28"/>
      <c r="L18" s="27"/>
      <c r="O18" s="175"/>
      <c r="Q18" s="27"/>
      <c r="R18" s="28"/>
    </row>
    <row r="19" spans="2:22" x14ac:dyDescent="0.35">
      <c r="B19" s="27"/>
      <c r="D19" s="27"/>
      <c r="E19" s="184" t="s">
        <v>12</v>
      </c>
      <c r="F19" s="184"/>
      <c r="G19" s="180">
        <v>1</v>
      </c>
      <c r="H19" s="28"/>
      <c r="L19" s="27"/>
      <c r="M19" s="145" t="s">
        <v>45</v>
      </c>
      <c r="N19" s="145"/>
      <c r="O19" s="130">
        <f ca="1">+SUM('Simulador DATOS'!P9:P128)</f>
        <v>3662.93</v>
      </c>
      <c r="Q19" s="27"/>
      <c r="R19" s="28"/>
    </row>
    <row r="20" spans="2:22" x14ac:dyDescent="0.35">
      <c r="B20" s="27"/>
      <c r="D20" s="27"/>
      <c r="E20" s="140"/>
      <c r="F20" s="140"/>
      <c r="H20" s="28"/>
      <c r="L20" s="27"/>
      <c r="O20" s="175"/>
      <c r="Q20" s="27"/>
      <c r="R20" s="28"/>
      <c r="V20" s="115"/>
    </row>
    <row r="21" spans="2:22" x14ac:dyDescent="0.35">
      <c r="B21" s="27"/>
      <c r="D21" s="27"/>
      <c r="E21" s="184" t="s">
        <v>46</v>
      </c>
      <c r="F21" s="184"/>
      <c r="G21" s="180" t="s">
        <v>134</v>
      </c>
      <c r="H21" s="28"/>
      <c r="L21" s="27"/>
      <c r="M21" s="145" t="s">
        <v>48</v>
      </c>
      <c r="N21" s="145"/>
      <c r="O21" s="130">
        <f ca="1">+SUM('Simulador DATOS'!Q9:Q128)</f>
        <v>289.60642809603553</v>
      </c>
      <c r="Q21" s="27"/>
      <c r="R21" s="28"/>
      <c r="V21" s="115"/>
    </row>
    <row r="22" spans="2:22" x14ac:dyDescent="0.35">
      <c r="B22" s="27"/>
      <c r="D22" s="27"/>
      <c r="E22" s="140"/>
      <c r="F22" s="140"/>
      <c r="H22" s="28"/>
      <c r="L22" s="27"/>
      <c r="Q22" s="27"/>
      <c r="R22" s="28"/>
      <c r="V22" s="115"/>
    </row>
    <row r="23" spans="2:22" x14ac:dyDescent="0.35">
      <c r="B23" s="27"/>
      <c r="D23" s="27"/>
      <c r="E23" s="184" t="s">
        <v>49</v>
      </c>
      <c r="F23" s="184"/>
      <c r="G23" s="180">
        <v>0</v>
      </c>
      <c r="H23" s="28"/>
      <c r="L23" s="27"/>
      <c r="M23" s="145" t="s">
        <v>50</v>
      </c>
      <c r="N23" s="145"/>
      <c r="O23" s="21">
        <f>+SUM('Simulador DATOS'!S8:S128)</f>
        <v>0</v>
      </c>
      <c r="Q23" s="27"/>
      <c r="R23" s="28"/>
      <c r="V23" s="113"/>
    </row>
    <row r="24" spans="2:22" x14ac:dyDescent="0.35">
      <c r="B24" s="27"/>
      <c r="D24" s="27"/>
      <c r="E24" s="140"/>
      <c r="F24" s="140"/>
      <c r="H24" s="28"/>
      <c r="I24" s="154" t="str">
        <f>+IF((G13&gt;300000)*(G9="DÓLARES")*(G25&lt;&gt;"SIN SEGURO (ENDOSO)"),"Corregir conforme a (3)","")</f>
        <v/>
      </c>
      <c r="L24" s="29"/>
      <c r="M24" s="30"/>
      <c r="N24" s="30"/>
      <c r="O24" s="30"/>
      <c r="P24" s="31"/>
      <c r="Q24" s="27"/>
      <c r="R24" s="28"/>
      <c r="V24" s="115"/>
    </row>
    <row r="25" spans="2:22" x14ac:dyDescent="0.35">
      <c r="B25" s="27"/>
      <c r="D25" s="27"/>
      <c r="E25" s="184" t="s">
        <v>51</v>
      </c>
      <c r="F25" s="184"/>
      <c r="G25" s="180" t="s">
        <v>125</v>
      </c>
      <c r="H25" s="28"/>
      <c r="I25" s="154" t="str">
        <f>+IF((G15&lt;24)*(G25="CON DEVOLUC."),"Corregir conforme a (4)","")</f>
        <v/>
      </c>
      <c r="R25" s="28"/>
      <c r="V25" s="113"/>
    </row>
    <row r="26" spans="2:22" x14ac:dyDescent="0.35">
      <c r="B26" s="27"/>
      <c r="D26" s="27"/>
      <c r="E26" s="140"/>
      <c r="F26" s="140"/>
      <c r="H26" s="28"/>
      <c r="R26" s="28"/>
    </row>
    <row r="27" spans="2:22" x14ac:dyDescent="0.35">
      <c r="B27" s="27"/>
      <c r="D27" s="27"/>
      <c r="E27" s="190" t="s">
        <v>53</v>
      </c>
      <c r="F27" s="190"/>
      <c r="G27" s="176">
        <f>+IF(G25="SIN DEVOLUC.",0.075%,IF(G25="CON DEVOLUC.",0.0854%,0))</f>
        <v>7.5000000000000002E-4</v>
      </c>
      <c r="H27" s="28"/>
      <c r="K27" s="140" t="s">
        <v>54</v>
      </c>
      <c r="R27" s="28"/>
    </row>
    <row r="28" spans="2:22" ht="15.75" customHeight="1" x14ac:dyDescent="0.35">
      <c r="B28" s="27"/>
      <c r="D28" s="27"/>
      <c r="E28" s="142"/>
      <c r="F28" s="142"/>
      <c r="G28" s="114"/>
      <c r="H28" s="28"/>
      <c r="R28" s="28"/>
    </row>
    <row r="29" spans="2:22" ht="15.75" customHeight="1" x14ac:dyDescent="0.35">
      <c r="B29" s="27"/>
      <c r="D29" s="27"/>
      <c r="E29" s="184" t="s">
        <v>55</v>
      </c>
      <c r="F29" s="184"/>
      <c r="G29" s="177" t="s">
        <v>56</v>
      </c>
      <c r="H29" s="28"/>
      <c r="L29" s="144"/>
      <c r="M29" s="26" t="s">
        <v>57</v>
      </c>
      <c r="R29" s="28"/>
    </row>
    <row r="30" spans="2:22" ht="15.75" customHeight="1" x14ac:dyDescent="0.35">
      <c r="B30" s="27"/>
      <c r="D30" s="27"/>
      <c r="E30" s="142"/>
      <c r="F30" s="142"/>
      <c r="G30" s="114"/>
      <c r="H30" s="28"/>
      <c r="R30" s="28"/>
    </row>
    <row r="31" spans="2:22" x14ac:dyDescent="0.35">
      <c r="B31" s="27"/>
      <c r="D31" s="27"/>
      <c r="E31" s="190" t="s">
        <v>58</v>
      </c>
      <c r="F31" s="190"/>
      <c r="G31" s="21">
        <f>IF(AND(G29="SÍ", G9="SOLES"),IFERROR(VLOOKUP((G15+G23),LEYENDA!G5:H66,2,FALSE),0),IF(AND(G29="SÍ", G9="DÓLARES"),IFERROR(VLOOKUP((G15+G23),LEYENDA!G5:J66,4,FALSE),0),0))</f>
        <v>0</v>
      </c>
      <c r="H31" s="28"/>
      <c r="L31" s="143"/>
      <c r="M31" s="26" t="s">
        <v>59</v>
      </c>
      <c r="R31" s="28"/>
    </row>
    <row r="32" spans="2:22" x14ac:dyDescent="0.35">
      <c r="B32" s="27"/>
      <c r="D32" s="27"/>
      <c r="E32" s="142"/>
      <c r="F32" s="142"/>
      <c r="G32" s="128"/>
      <c r="H32" s="28"/>
      <c r="R32" s="28"/>
    </row>
    <row r="33" spans="2:18" ht="15" customHeight="1" x14ac:dyDescent="0.35">
      <c r="B33" s="27"/>
      <c r="D33" s="27"/>
      <c r="E33" s="184" t="s">
        <v>60</v>
      </c>
      <c r="F33" s="184"/>
      <c r="G33" s="180" t="s">
        <v>61</v>
      </c>
      <c r="H33" s="28"/>
      <c r="R33" s="28"/>
    </row>
    <row r="34" spans="2:18" x14ac:dyDescent="0.35">
      <c r="B34" s="27"/>
      <c r="D34" s="27"/>
      <c r="G34" s="26"/>
      <c r="H34" s="28"/>
      <c r="R34" s="28"/>
    </row>
    <row r="35" spans="2:18" x14ac:dyDescent="0.35">
      <c r="B35" s="27"/>
      <c r="D35" s="27"/>
      <c r="E35" s="190" t="s">
        <v>62</v>
      </c>
      <c r="F35" s="190"/>
      <c r="G35" s="151">
        <f>+VLOOKUP(G9&amp;G33, LEYENDA!P6:S11,4,0)</f>
        <v>0</v>
      </c>
      <c r="H35" s="28"/>
      <c r="R35" s="28"/>
    </row>
    <row r="36" spans="2:18" ht="15.75" customHeight="1" x14ac:dyDescent="0.35">
      <c r="B36" s="27"/>
      <c r="D36" s="29"/>
      <c r="E36" s="30"/>
      <c r="F36" s="30"/>
      <c r="G36" s="22"/>
      <c r="H36" s="31"/>
      <c r="R36" s="28"/>
    </row>
    <row r="37" spans="2:18" x14ac:dyDescent="0.35">
      <c r="B37" s="27"/>
      <c r="R37" s="28"/>
    </row>
    <row r="38" spans="2:18" x14ac:dyDescent="0.35">
      <c r="B38" s="27"/>
      <c r="D38" s="140" t="s">
        <v>63</v>
      </c>
      <c r="R38" s="28"/>
    </row>
    <row r="39" spans="2:18" x14ac:dyDescent="0.35">
      <c r="B39" s="27"/>
      <c r="D39" s="152" t="s">
        <v>64</v>
      </c>
      <c r="E39" s="196" t="s">
        <v>65</v>
      </c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96"/>
      <c r="R39" s="28"/>
    </row>
    <row r="40" spans="2:18" x14ac:dyDescent="0.35">
      <c r="B40" s="27"/>
      <c r="D40" s="152"/>
      <c r="E40" s="196"/>
      <c r="F40" s="196"/>
      <c r="G40" s="196"/>
      <c r="H40" s="196"/>
      <c r="I40" s="196"/>
      <c r="J40" s="196"/>
      <c r="K40" s="196"/>
      <c r="L40" s="196"/>
      <c r="M40" s="196"/>
      <c r="N40" s="196"/>
      <c r="O40" s="196"/>
      <c r="P40" s="196"/>
      <c r="Q40" s="196"/>
      <c r="R40" s="28"/>
    </row>
    <row r="41" spans="2:18" x14ac:dyDescent="0.35">
      <c r="B41" s="27"/>
      <c r="D41" s="152" t="s">
        <v>66</v>
      </c>
      <c r="E41" s="196" t="s">
        <v>67</v>
      </c>
      <c r="F41" s="196"/>
      <c r="G41" s="196"/>
      <c r="H41" s="196"/>
      <c r="I41" s="196"/>
      <c r="J41" s="196"/>
      <c r="K41" s="196"/>
      <c r="L41" s="196"/>
      <c r="M41" s="196"/>
      <c r="N41" s="196"/>
      <c r="O41" s="196"/>
      <c r="P41" s="196"/>
      <c r="Q41" s="196"/>
      <c r="R41" s="28"/>
    </row>
    <row r="42" spans="2:18" x14ac:dyDescent="0.35">
      <c r="B42" s="27"/>
      <c r="E42" s="196"/>
      <c r="F42" s="196"/>
      <c r="G42" s="196"/>
      <c r="H42" s="196"/>
      <c r="I42" s="196"/>
      <c r="J42" s="196"/>
      <c r="K42" s="196"/>
      <c r="L42" s="196"/>
      <c r="M42" s="196"/>
      <c r="N42" s="196"/>
      <c r="O42" s="196"/>
      <c r="P42" s="196"/>
      <c r="Q42" s="196"/>
      <c r="R42" s="28"/>
    </row>
    <row r="43" spans="2:18" ht="15" customHeight="1" x14ac:dyDescent="0.35">
      <c r="B43" s="27"/>
      <c r="D43" s="152" t="s">
        <v>68</v>
      </c>
      <c r="E43" s="195" t="s">
        <v>69</v>
      </c>
      <c r="F43" s="195"/>
      <c r="G43" s="195"/>
      <c r="H43" s="195"/>
      <c r="I43" s="195"/>
      <c r="J43" s="195"/>
      <c r="K43" s="195"/>
      <c r="L43" s="195"/>
      <c r="M43" s="195"/>
      <c r="N43" s="195"/>
      <c r="O43" s="195"/>
      <c r="P43" s="195"/>
      <c r="Q43" s="195"/>
      <c r="R43" s="28"/>
    </row>
    <row r="44" spans="2:18" x14ac:dyDescent="0.35">
      <c r="B44" s="27"/>
      <c r="E44" s="195"/>
      <c r="F44" s="195"/>
      <c r="G44" s="195"/>
      <c r="H44" s="195"/>
      <c r="I44" s="195"/>
      <c r="J44" s="195"/>
      <c r="K44" s="195"/>
      <c r="L44" s="195"/>
      <c r="M44" s="195"/>
      <c r="N44" s="195"/>
      <c r="O44" s="195"/>
      <c r="P44" s="195"/>
      <c r="Q44" s="195"/>
      <c r="R44" s="28"/>
    </row>
    <row r="45" spans="2:18" ht="15" customHeight="1" x14ac:dyDescent="0.35">
      <c r="B45" s="27"/>
      <c r="D45" s="152" t="s">
        <v>70</v>
      </c>
      <c r="E45" t="s">
        <v>71</v>
      </c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28"/>
    </row>
    <row r="46" spans="2:18" ht="15" customHeight="1" x14ac:dyDescent="0.35">
      <c r="B46" s="27"/>
      <c r="D46" s="152" t="s">
        <v>72</v>
      </c>
      <c r="E46" s="195" t="s">
        <v>73</v>
      </c>
      <c r="F46" s="195"/>
      <c r="G46" s="195"/>
      <c r="H46" s="195"/>
      <c r="I46" s="195"/>
      <c r="J46" s="195"/>
      <c r="K46" s="195"/>
      <c r="L46" s="195"/>
      <c r="M46" s="195"/>
      <c r="N46" s="195"/>
      <c r="O46" s="195"/>
      <c r="P46" s="195"/>
      <c r="Q46" s="195"/>
      <c r="R46" s="28"/>
    </row>
    <row r="47" spans="2:18" x14ac:dyDescent="0.35">
      <c r="B47" s="27"/>
      <c r="D47" s="152" t="s">
        <v>74</v>
      </c>
      <c r="E47" s="196" t="s">
        <v>75</v>
      </c>
      <c r="F47" s="196"/>
      <c r="G47" s="196"/>
      <c r="H47" s="196"/>
      <c r="I47" s="196"/>
      <c r="J47" s="196"/>
      <c r="K47" s="196"/>
      <c r="L47" s="196"/>
      <c r="M47" s="196"/>
      <c r="N47" s="196"/>
      <c r="O47" s="196"/>
      <c r="P47" s="196"/>
      <c r="Q47" s="196"/>
      <c r="R47" s="28"/>
    </row>
    <row r="48" spans="2:18" x14ac:dyDescent="0.35">
      <c r="B48" s="27"/>
      <c r="D48" s="152"/>
      <c r="E48" s="196"/>
      <c r="F48" s="196"/>
      <c r="G48" s="196"/>
      <c r="H48" s="196"/>
      <c r="I48" s="196"/>
      <c r="J48" s="196"/>
      <c r="K48" s="196"/>
      <c r="L48" s="196"/>
      <c r="M48" s="196"/>
      <c r="N48" s="196"/>
      <c r="O48" s="196"/>
      <c r="P48" s="196"/>
      <c r="Q48" s="196"/>
      <c r="R48" s="28"/>
    </row>
    <row r="49" spans="2:18" ht="15" customHeight="1" x14ac:dyDescent="0.35">
      <c r="B49" s="27"/>
      <c r="D49" s="152" t="s">
        <v>76</v>
      </c>
      <c r="E49" s="195" t="s">
        <v>77</v>
      </c>
      <c r="F49" s="195"/>
      <c r="G49" s="195"/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28"/>
    </row>
    <row r="50" spans="2:18" x14ac:dyDescent="0.35">
      <c r="B50" s="27"/>
      <c r="G50" s="26"/>
      <c r="R50" s="28"/>
    </row>
    <row r="51" spans="2:18" ht="54" customHeight="1" x14ac:dyDescent="0.35">
      <c r="B51" s="27"/>
      <c r="D51" s="194" t="s">
        <v>40</v>
      </c>
      <c r="E51" s="194"/>
      <c r="F51" s="139" t="s">
        <v>78</v>
      </c>
      <c r="G51" s="139" t="s">
        <v>79</v>
      </c>
      <c r="H51" s="194" t="s">
        <v>80</v>
      </c>
      <c r="I51" s="194"/>
      <c r="J51" s="194" t="s">
        <v>81</v>
      </c>
      <c r="K51" s="194"/>
      <c r="L51" s="194" t="s">
        <v>82</v>
      </c>
      <c r="M51" s="194"/>
      <c r="N51" s="139" t="s">
        <v>83</v>
      </c>
      <c r="O51" s="194" t="s">
        <v>40</v>
      </c>
      <c r="P51" s="194"/>
      <c r="R51" s="28"/>
    </row>
    <row r="52" spans="2:18" x14ac:dyDescent="0.35">
      <c r="B52" s="27"/>
      <c r="D52" s="182">
        <v>1</v>
      </c>
      <c r="E52" s="182"/>
      <c r="F52" s="20">
        <f>+IFERROR(VLOOKUP(D52, 'Simulador DATOS'!F:R,6,0),"")</f>
        <v>46143</v>
      </c>
      <c r="G52" s="21">
        <f>+IFERROR(VLOOKUP(D52, 'Simulador DATOS'!F:R,9,0),"")</f>
        <v>11323.05510594103</v>
      </c>
      <c r="H52" s="197">
        <f ca="1">+IFERROR(VLOOKUP(D52, 'Simulador DATOS'!F:R,10,0),"")</f>
        <v>138.6546294965145</v>
      </c>
      <c r="I52" s="197"/>
      <c r="J52" s="199">
        <f>+IFERROR(VLOOKUP(D52, 'Simulador DATOS'!F:R,11,0),"")</f>
        <v>107.44</v>
      </c>
      <c r="K52" s="199"/>
      <c r="L52" s="197">
        <f>+IFERROR(VLOOKUP(D52, 'Simulador DATOS'!F:R,12,0),"")</f>
        <v>8.4953705034855052</v>
      </c>
      <c r="M52" s="197"/>
      <c r="N52" s="130">
        <f>+IFERROR(VLOOKUP(D52, 'Simulador DATOS'!F:S,14,0),"")</f>
        <v>0</v>
      </c>
      <c r="O52" s="198">
        <f ca="1">+IFERROR(VLOOKUP(D52, 'Simulador DATOS'!F:T,15,0),"")</f>
        <v>254.59</v>
      </c>
      <c r="P52" s="198"/>
      <c r="R52" s="28"/>
    </row>
    <row r="53" spans="2:18" x14ac:dyDescent="0.35">
      <c r="B53" s="27"/>
      <c r="D53" s="182">
        <f t="shared" ref="D53:D84" si="0">+IF(D52="", "", IF((D52+1)&gt;$G$15,"", D52+1))</f>
        <v>2</v>
      </c>
      <c r="E53" s="182"/>
      <c r="F53" s="20">
        <f>+IFERROR(VLOOKUP(D53, 'Simulador DATOS'!F:R,6,0),"")</f>
        <v>46174</v>
      </c>
      <c r="G53" s="21">
        <f ca="1">+IFERROR(VLOOKUP(D53, 'Simulador DATOS'!F:R,9,0),"")</f>
        <v>11184.400476444516</v>
      </c>
      <c r="H53" s="197">
        <f ca="1">+IFERROR(VLOOKUP(D53, 'Simulador DATOS'!F:R,10,0),"")</f>
        <v>136.23883837870687</v>
      </c>
      <c r="I53" s="197"/>
      <c r="J53" s="199">
        <f ca="1">+IFERROR(VLOOKUP(D53, 'Simulador DATOS'!F:R,11,0),"")</f>
        <v>109.68</v>
      </c>
      <c r="K53" s="199"/>
      <c r="L53" s="197">
        <f ca="1">+IFERROR(VLOOKUP(D53, 'Simulador DATOS'!F:R,12,0),"")</f>
        <v>8.6711616212931109</v>
      </c>
      <c r="M53" s="197"/>
      <c r="N53" s="130">
        <f>+IFERROR(VLOOKUP(D53, 'Simulador DATOS'!F:S,14,0),"")</f>
        <v>0</v>
      </c>
      <c r="O53" s="198">
        <f ca="1">+IFERROR(VLOOKUP(D53, 'Simulador DATOS'!F:T,15,0),"")</f>
        <v>254.59</v>
      </c>
      <c r="P53" s="198"/>
      <c r="R53" s="28"/>
    </row>
    <row r="54" spans="2:18" x14ac:dyDescent="0.35">
      <c r="B54" s="27"/>
      <c r="D54" s="182">
        <f t="shared" si="0"/>
        <v>3</v>
      </c>
      <c r="E54" s="182"/>
      <c r="F54" s="20">
        <f>+IFERROR(VLOOKUP(D54, 'Simulador DATOS'!F:R,6,0),"")</f>
        <v>46204</v>
      </c>
      <c r="G54" s="21">
        <f ca="1">+IFERROR(VLOOKUP(D54, 'Simulador DATOS'!F:R,9,0),"")</f>
        <v>11048.161638065809</v>
      </c>
      <c r="H54" s="197">
        <f ca="1">+IFERROR(VLOOKUP(D54, 'Simulador DATOS'!F:R,10,0),"")</f>
        <v>141.47087435152386</v>
      </c>
      <c r="I54" s="197"/>
      <c r="J54" s="197">
        <f ca="1">+IFERROR(VLOOKUP(D54, 'Simulador DATOS'!F:R,11,0),"")</f>
        <v>104.83</v>
      </c>
      <c r="K54" s="197"/>
      <c r="L54" s="197">
        <f ca="1">+IFERROR(VLOOKUP(D54, 'Simulador DATOS'!F:R,12,0),"")</f>
        <v>8.2891256484761282</v>
      </c>
      <c r="M54" s="197"/>
      <c r="N54" s="130">
        <f>+IFERROR(VLOOKUP(D54, 'Simulador DATOS'!F:S,14,0),"")</f>
        <v>0</v>
      </c>
      <c r="O54" s="198">
        <f ca="1">+IFERROR(VLOOKUP(D54, 'Simulador DATOS'!F:T,15,0),"")</f>
        <v>254.59</v>
      </c>
      <c r="P54" s="198"/>
      <c r="R54" s="28"/>
    </row>
    <row r="55" spans="2:18" x14ac:dyDescent="0.35">
      <c r="B55" s="27"/>
      <c r="D55" s="182">
        <f t="shared" si="0"/>
        <v>4</v>
      </c>
      <c r="E55" s="182"/>
      <c r="F55" s="20">
        <f>+IFERROR(VLOOKUP(D55, 'Simulador DATOS'!F:R,6,0),"")</f>
        <v>46235</v>
      </c>
      <c r="G55" s="21">
        <f ca="1">+IFERROR(VLOOKUP(D55, 'Simulador DATOS'!F:R,9,0),"")</f>
        <v>10906.690763714285</v>
      </c>
      <c r="H55" s="197">
        <f ca="1">+IFERROR(VLOOKUP(D55, 'Simulador DATOS'!F:R,10,0),"")</f>
        <v>139.1741441349661</v>
      </c>
      <c r="I55" s="197"/>
      <c r="J55" s="197">
        <f ca="1">+IFERROR(VLOOKUP(D55, 'Simulador DATOS'!F:R,11,0),"")</f>
        <v>106.96</v>
      </c>
      <c r="K55" s="197"/>
      <c r="L55" s="197">
        <f ca="1">+IFERROR(VLOOKUP(D55, 'Simulador DATOS'!F:R,12,0),"")</f>
        <v>8.4558558650339055</v>
      </c>
      <c r="M55" s="197"/>
      <c r="N55" s="130">
        <f>+IFERROR(VLOOKUP(D55, 'Simulador DATOS'!F:S,14,0),"")</f>
        <v>0</v>
      </c>
      <c r="O55" s="198">
        <f ca="1">+IFERROR(VLOOKUP(D55, 'Simulador DATOS'!F:T,15,0),"")</f>
        <v>254.59</v>
      </c>
      <c r="P55" s="198"/>
      <c r="R55" s="28"/>
    </row>
    <row r="56" spans="2:18" x14ac:dyDescent="0.35">
      <c r="B56" s="27"/>
      <c r="D56" s="182">
        <f t="shared" si="0"/>
        <v>5</v>
      </c>
      <c r="E56" s="182"/>
      <c r="F56" s="20">
        <f>+IFERROR(VLOOKUP(D56, 'Simulador DATOS'!F:R,6,0),"")</f>
        <v>46266</v>
      </c>
      <c r="G56" s="21">
        <f ca="1">+IFERROR(VLOOKUP(D56, 'Simulador DATOS'!F:R,9,0),"")</f>
        <v>10767.516619579319</v>
      </c>
      <c r="H56" s="197">
        <f ca="1">+IFERROR(VLOOKUP(D56, 'Simulador DATOS'!F:R,10,0),"")</f>
        <v>140.65204455393277</v>
      </c>
      <c r="I56" s="197"/>
      <c r="J56" s="197">
        <f ca="1">+IFERROR(VLOOKUP(D56, 'Simulador DATOS'!F:R,11,0),"")</f>
        <v>105.59</v>
      </c>
      <c r="K56" s="197"/>
      <c r="L56" s="197">
        <f ca="1">+IFERROR(VLOOKUP(D56, 'Simulador DATOS'!F:R,12,0),"")</f>
        <v>8.3479554460672318</v>
      </c>
      <c r="M56" s="197"/>
      <c r="N56" s="130">
        <f>+IFERROR(VLOOKUP(D56, 'Simulador DATOS'!F:S,14,0),"")</f>
        <v>0</v>
      </c>
      <c r="O56" s="198">
        <f ca="1">+IFERROR(VLOOKUP(D56, 'Simulador DATOS'!F:T,15,0),"")</f>
        <v>254.59</v>
      </c>
      <c r="P56" s="198"/>
      <c r="R56" s="28"/>
    </row>
    <row r="57" spans="2:18" x14ac:dyDescent="0.35">
      <c r="B57" s="27"/>
      <c r="D57" s="182">
        <f t="shared" si="0"/>
        <v>6</v>
      </c>
      <c r="E57" s="182"/>
      <c r="F57" s="20">
        <f>+IFERROR(VLOOKUP(D57, 'Simulador DATOS'!F:R,6,0),"")</f>
        <v>46296</v>
      </c>
      <c r="G57" s="21">
        <f ca="1">+IFERROR(VLOOKUP(D57, 'Simulador DATOS'!F:R,9,0),"")</f>
        <v>10626.864575025385</v>
      </c>
      <c r="H57" s="197">
        <f ca="1">+IFERROR(VLOOKUP(D57, 'Simulador DATOS'!F:R,10,0),"")</f>
        <v>145.77696171567356</v>
      </c>
      <c r="I57" s="197"/>
      <c r="J57" s="197">
        <f ca="1">+IFERROR(VLOOKUP(D57, 'Simulador DATOS'!F:R,11,0),"")</f>
        <v>100.84</v>
      </c>
      <c r="K57" s="197"/>
      <c r="L57" s="197">
        <f ca="1">+IFERROR(VLOOKUP(D57, 'Simulador DATOS'!F:R,12,0),"")</f>
        <v>7.9730382843264298</v>
      </c>
      <c r="M57" s="197"/>
      <c r="N57" s="130">
        <f>+IFERROR(VLOOKUP(D57, 'Simulador DATOS'!F:S,14,0),"")</f>
        <v>0</v>
      </c>
      <c r="O57" s="198">
        <f ca="1">+IFERROR(VLOOKUP(D57, 'Simulador DATOS'!F:T,15,0),"")</f>
        <v>254.59</v>
      </c>
      <c r="P57" s="198"/>
      <c r="R57" s="28"/>
    </row>
    <row r="58" spans="2:18" x14ac:dyDescent="0.35">
      <c r="B58" s="27"/>
      <c r="D58" s="182">
        <f t="shared" si="0"/>
        <v>7</v>
      </c>
      <c r="E58" s="182"/>
      <c r="F58" s="20">
        <f>+IFERROR(VLOOKUP(D58, 'Simulador DATOS'!F:R,6,0),"")</f>
        <v>46327</v>
      </c>
      <c r="G58" s="21">
        <f ca="1">+IFERROR(VLOOKUP(D58, 'Simulador DATOS'!F:R,9,0),"")</f>
        <v>10481.087613309712</v>
      </c>
      <c r="H58" s="197">
        <f ca="1">+IFERROR(VLOOKUP(D58, 'Simulador DATOS'!F:R,10,0),"")</f>
        <v>143.68411029734219</v>
      </c>
      <c r="I58" s="197"/>
      <c r="J58" s="197">
        <f ca="1">+IFERROR(VLOOKUP(D58, 'Simulador DATOS'!F:R,11,0),"")</f>
        <v>102.78</v>
      </c>
      <c r="K58" s="197"/>
      <c r="L58" s="197">
        <f ca="1">+IFERROR(VLOOKUP(D58, 'Simulador DATOS'!F:R,12,0),"")</f>
        <v>8.1258897026578278</v>
      </c>
      <c r="M58" s="197"/>
      <c r="N58" s="130">
        <f>+IFERROR(VLOOKUP(D58, 'Simulador DATOS'!F:S,14,0),"")</f>
        <v>0</v>
      </c>
      <c r="O58" s="198">
        <f ca="1">+IFERROR(VLOOKUP(D58, 'Simulador DATOS'!F:T,15,0),"")</f>
        <v>254.59</v>
      </c>
      <c r="P58" s="198"/>
      <c r="R58" s="28"/>
    </row>
    <row r="59" spans="2:18" x14ac:dyDescent="0.35">
      <c r="B59" s="27"/>
      <c r="D59" s="182">
        <f t="shared" si="0"/>
        <v>8</v>
      </c>
      <c r="E59" s="182"/>
      <c r="F59" s="20">
        <f>+IFERROR(VLOOKUP(D59, 'Simulador DATOS'!F:R,6,0),"")</f>
        <v>46357</v>
      </c>
      <c r="G59" s="21">
        <f ca="1">+IFERROR(VLOOKUP(D59, 'Simulador DATOS'!F:R,9,0),"")</f>
        <v>10337.403503012369</v>
      </c>
      <c r="H59" s="197">
        <f ca="1">+IFERROR(VLOOKUP(D59, 'Simulador DATOS'!F:R,10,0),"")</f>
        <v>148.74413623527795</v>
      </c>
      <c r="I59" s="197"/>
      <c r="J59" s="197">
        <f ca="1">+IFERROR(VLOOKUP(D59, 'Simulador DATOS'!F:R,11,0),"")</f>
        <v>98.09</v>
      </c>
      <c r="K59" s="197"/>
      <c r="L59" s="197">
        <f ca="1">+IFERROR(VLOOKUP(D59, 'Simulador DATOS'!F:R,12,0),"")</f>
        <v>7.755863764722049</v>
      </c>
      <c r="M59" s="197"/>
      <c r="N59" s="130">
        <f>+IFERROR(VLOOKUP(D59, 'Simulador DATOS'!F:S,14,0),"")</f>
        <v>0</v>
      </c>
      <c r="O59" s="198">
        <f ca="1">+IFERROR(VLOOKUP(D59, 'Simulador DATOS'!F:T,15,0),"")</f>
        <v>254.59</v>
      </c>
      <c r="P59" s="198"/>
      <c r="R59" s="28"/>
    </row>
    <row r="60" spans="2:18" x14ac:dyDescent="0.35">
      <c r="B60" s="27"/>
      <c r="D60" s="182">
        <f t="shared" si="0"/>
        <v>9</v>
      </c>
      <c r="E60" s="182"/>
      <c r="F60" s="20">
        <f>+IFERROR(VLOOKUP(D60, 'Simulador DATOS'!F:R,6,0),"")</f>
        <v>46388</v>
      </c>
      <c r="G60" s="21">
        <f ca="1">+IFERROR(VLOOKUP(D60, 'Simulador DATOS'!F:R,9,0),"")</f>
        <v>10188.65936677709</v>
      </c>
      <c r="H60" s="197">
        <f ca="1">+IFERROR(VLOOKUP(D60, 'Simulador DATOS'!F:R,10,0),"")</f>
        <v>146.77082719590607</v>
      </c>
      <c r="I60" s="197"/>
      <c r="J60" s="197">
        <f ca="1">+IFERROR(VLOOKUP(D60, 'Simulador DATOS'!F:R,11,0),"")</f>
        <v>99.92</v>
      </c>
      <c r="K60" s="197"/>
      <c r="L60" s="197">
        <f ca="1">+IFERROR(VLOOKUP(D60, 'Simulador DATOS'!F:R,12,0),"")</f>
        <v>7.8991728040939631</v>
      </c>
      <c r="M60" s="197"/>
      <c r="N60" s="130">
        <f>+IFERROR(VLOOKUP(D60, 'Simulador DATOS'!F:S,14,0),"")</f>
        <v>0</v>
      </c>
      <c r="O60" s="198">
        <f ca="1">+IFERROR(VLOOKUP(D60, 'Simulador DATOS'!F:T,15,0),"")</f>
        <v>254.59000000000003</v>
      </c>
      <c r="P60" s="198"/>
      <c r="R60" s="28"/>
    </row>
    <row r="61" spans="2:18" x14ac:dyDescent="0.35">
      <c r="B61" s="27"/>
      <c r="D61" s="182">
        <f t="shared" si="0"/>
        <v>10</v>
      </c>
      <c r="E61" s="182"/>
      <c r="F61" s="20">
        <f>+IFERROR(VLOOKUP(D61, 'Simulador DATOS'!F:R,6,0),"")</f>
        <v>46419</v>
      </c>
      <c r="G61" s="21">
        <f ca="1">+IFERROR(VLOOKUP(D61, 'Simulador DATOS'!F:R,9,0),"")</f>
        <v>10041.888539581185</v>
      </c>
      <c r="H61" s="197">
        <f ca="1">+IFERROR(VLOOKUP(D61, 'Simulador DATOS'!F:R,10,0),"")</f>
        <v>148.32461725256459</v>
      </c>
      <c r="I61" s="197"/>
      <c r="J61" s="197">
        <f ca="1">+IFERROR(VLOOKUP(D61, 'Simulador DATOS'!F:R,11,0),"")</f>
        <v>98.48</v>
      </c>
      <c r="K61" s="197"/>
      <c r="L61" s="197">
        <f ca="1">+IFERROR(VLOOKUP(D61, 'Simulador DATOS'!F:R,12,0),"")</f>
        <v>7.7853827474354089</v>
      </c>
      <c r="M61" s="197"/>
      <c r="N61" s="130">
        <f>+IFERROR(VLOOKUP(D61, 'Simulador DATOS'!F:S,14,0),"")</f>
        <v>0</v>
      </c>
      <c r="O61" s="198">
        <f ca="1">+IFERROR(VLOOKUP(D61, 'Simulador DATOS'!F:T,15,0),"")</f>
        <v>254.59</v>
      </c>
      <c r="P61" s="198"/>
      <c r="R61" s="28"/>
    </row>
    <row r="62" spans="2:18" x14ac:dyDescent="0.35">
      <c r="B62" s="27"/>
      <c r="D62" s="182">
        <f t="shared" si="0"/>
        <v>11</v>
      </c>
      <c r="E62" s="182"/>
      <c r="F62" s="20">
        <f>+IFERROR(VLOOKUP(D62, 'Simulador DATOS'!F:R,6,0),"")</f>
        <v>46447</v>
      </c>
      <c r="G62" s="21">
        <f ca="1">+IFERROR(VLOOKUP(D62, 'Simulador DATOS'!F:R,9,0),"")</f>
        <v>9893.5639223286198</v>
      </c>
      <c r="H62" s="197">
        <f ca="1">+IFERROR(VLOOKUP(D62, 'Simulador DATOS'!F:R,10,0),"")</f>
        <v>160.07216739339032</v>
      </c>
      <c r="I62" s="197"/>
      <c r="J62" s="197">
        <f ca="1">+IFERROR(VLOOKUP(D62, 'Simulador DATOS'!F:R,11,0),"")</f>
        <v>87.59</v>
      </c>
      <c r="K62" s="197"/>
      <c r="L62" s="197">
        <f ca="1">+IFERROR(VLOOKUP(D62, 'Simulador DATOS'!F:R,12,0),"")</f>
        <v>6.927832606609674</v>
      </c>
      <c r="M62" s="197"/>
      <c r="N62" s="130">
        <f>+IFERROR(VLOOKUP(D62, 'Simulador DATOS'!F:S,14,0),"")</f>
        <v>0</v>
      </c>
      <c r="O62" s="198">
        <f ca="1">+IFERROR(VLOOKUP(D62, 'Simulador DATOS'!F:T,15,0),"")</f>
        <v>254.59</v>
      </c>
      <c r="P62" s="198"/>
      <c r="R62" s="28"/>
    </row>
    <row r="63" spans="2:18" x14ac:dyDescent="0.35">
      <c r="B63" s="27"/>
      <c r="D63" s="182">
        <f t="shared" si="0"/>
        <v>12</v>
      </c>
      <c r="E63" s="182"/>
      <c r="F63" s="20">
        <f>+IFERROR(VLOOKUP(D63, 'Simulador DATOS'!F:R,6,0),"")</f>
        <v>46478</v>
      </c>
      <c r="G63" s="21">
        <f ca="1">+IFERROR(VLOOKUP(D63, 'Simulador DATOS'!F:R,9,0),"")</f>
        <v>9733.4917549352303</v>
      </c>
      <c r="H63" s="197">
        <f ca="1">+IFERROR(VLOOKUP(D63, 'Simulador DATOS'!F:R,10,0),"")</f>
        <v>151.5937144101444</v>
      </c>
      <c r="I63" s="197"/>
      <c r="J63" s="197">
        <f ca="1">+IFERROR(VLOOKUP(D63, 'Simulador DATOS'!F:R,11,0),"")</f>
        <v>95.45</v>
      </c>
      <c r="K63" s="197"/>
      <c r="L63" s="197">
        <f ca="1">+IFERROR(VLOOKUP(D63, 'Simulador DATOS'!F:R,12,0),"")</f>
        <v>7.5462855898555956</v>
      </c>
      <c r="M63" s="197"/>
      <c r="N63" s="130">
        <f>+IFERROR(VLOOKUP(D63, 'Simulador DATOS'!F:S,14,0),"")</f>
        <v>0</v>
      </c>
      <c r="O63" s="198">
        <f ca="1">+IFERROR(VLOOKUP(D63, 'Simulador DATOS'!F:T,15,0),"")</f>
        <v>254.58999999999997</v>
      </c>
      <c r="P63" s="198"/>
      <c r="R63" s="28"/>
    </row>
    <row r="64" spans="2:18" x14ac:dyDescent="0.35">
      <c r="B64" s="27"/>
      <c r="D64" s="182">
        <f t="shared" si="0"/>
        <v>13</v>
      </c>
      <c r="E64" s="182"/>
      <c r="F64" s="20">
        <f>+IFERROR(VLOOKUP(D64, 'Simulador DATOS'!F:R,6,0),"")</f>
        <v>46508</v>
      </c>
      <c r="G64" s="21">
        <f ca="1">+IFERROR(VLOOKUP(D64, 'Simulador DATOS'!F:R,9,0),"")</f>
        <v>9581.8980405250859</v>
      </c>
      <c r="H64" s="197">
        <f ca="1">+IFERROR(VLOOKUP(D64, 'Simulador DATOS'!F:R,10,0),"")</f>
        <v>156.4809707831262</v>
      </c>
      <c r="I64" s="197"/>
      <c r="J64" s="197">
        <f ca="1">+IFERROR(VLOOKUP(D64, 'Simulador DATOS'!F:R,11,0),"")</f>
        <v>90.92</v>
      </c>
      <c r="K64" s="197"/>
      <c r="L64" s="197">
        <f ca="1">+IFERROR(VLOOKUP(D64, 'Simulador DATOS'!F:R,12,0),"")</f>
        <v>7.1890292168738226</v>
      </c>
      <c r="M64" s="197"/>
      <c r="N64" s="130">
        <f>+IFERROR(VLOOKUP(D64, 'Simulador DATOS'!F:S,14,0),"")</f>
        <v>0</v>
      </c>
      <c r="O64" s="198">
        <f ca="1">+IFERROR(VLOOKUP(D64, 'Simulador DATOS'!F:T,15,0),"")</f>
        <v>254.59</v>
      </c>
      <c r="P64" s="198"/>
      <c r="R64" s="28"/>
    </row>
    <row r="65" spans="2:18" x14ac:dyDescent="0.35">
      <c r="B65" s="27"/>
      <c r="D65" s="182">
        <f t="shared" si="0"/>
        <v>14</v>
      </c>
      <c r="E65" s="182"/>
      <c r="F65" s="20">
        <f>+IFERROR(VLOOKUP(D65, 'Simulador DATOS'!F:R,6,0),"")</f>
        <v>46539</v>
      </c>
      <c r="G65" s="21">
        <f ca="1">+IFERROR(VLOOKUP(D65, 'Simulador DATOS'!F:R,9,0),"")</f>
        <v>9425.4170697419595</v>
      </c>
      <c r="H65" s="197">
        <f ca="1">+IFERROR(VLOOKUP(D65, 'Simulador DATOS'!F:R,10,0),"")</f>
        <v>154.85256184701561</v>
      </c>
      <c r="I65" s="197"/>
      <c r="J65" s="197">
        <f ca="1">+IFERROR(VLOOKUP(D65, 'Simulador DATOS'!F:R,11,0),"")</f>
        <v>92.43</v>
      </c>
      <c r="K65" s="197"/>
      <c r="L65" s="197">
        <f ca="1">+IFERROR(VLOOKUP(D65, 'Simulador DATOS'!F:R,12,0),"")</f>
        <v>7.3074381529843908</v>
      </c>
      <c r="M65" s="197"/>
      <c r="N65" s="130">
        <f>+IFERROR(VLOOKUP(D65, 'Simulador DATOS'!F:S,14,0),"")</f>
        <v>0</v>
      </c>
      <c r="O65" s="198">
        <f ca="1">+IFERROR(VLOOKUP(D65, 'Simulador DATOS'!F:T,15,0),"")</f>
        <v>254.59</v>
      </c>
      <c r="P65" s="198"/>
      <c r="R65" s="28"/>
    </row>
    <row r="66" spans="2:18" x14ac:dyDescent="0.35">
      <c r="B66" s="27"/>
      <c r="D66" s="182">
        <f t="shared" si="0"/>
        <v>15</v>
      </c>
      <c r="E66" s="182"/>
      <c r="F66" s="20">
        <f>+IFERROR(VLOOKUP(D66, 'Simulador DATOS'!F:R,6,0),"")</f>
        <v>46569</v>
      </c>
      <c r="G66" s="21">
        <f ca="1">+IFERROR(VLOOKUP(D66, 'Simulador DATOS'!F:R,9,0),"")</f>
        <v>9270.5645078949437</v>
      </c>
      <c r="H66" s="197">
        <f ca="1">+IFERROR(VLOOKUP(D66, 'Simulador DATOS'!F:R,10,0),"")</f>
        <v>159.66455559615639</v>
      </c>
      <c r="I66" s="197"/>
      <c r="J66" s="197">
        <f ca="1">+IFERROR(VLOOKUP(D66, 'Simulador DATOS'!F:R,11,0),"")</f>
        <v>87.97</v>
      </c>
      <c r="K66" s="197"/>
      <c r="L66" s="197">
        <f ca="1">+IFERROR(VLOOKUP(D66, 'Simulador DATOS'!F:R,12,0),"")</f>
        <v>6.9554444038436083</v>
      </c>
      <c r="M66" s="197"/>
      <c r="N66" s="130">
        <f>+IFERROR(VLOOKUP(D66, 'Simulador DATOS'!F:S,14,0),"")</f>
        <v>0</v>
      </c>
      <c r="O66" s="198">
        <f ca="1">+IFERROR(VLOOKUP(D66, 'Simulador DATOS'!F:T,15,0),"")</f>
        <v>254.59</v>
      </c>
      <c r="P66" s="198"/>
      <c r="R66" s="28"/>
    </row>
    <row r="67" spans="2:18" x14ac:dyDescent="0.35">
      <c r="B67" s="27"/>
      <c r="D67" s="182">
        <f t="shared" si="0"/>
        <v>16</v>
      </c>
      <c r="E67" s="182"/>
      <c r="F67" s="20">
        <f>+IFERROR(VLOOKUP(D67, 'Simulador DATOS'!F:R,6,0),"")</f>
        <v>46600</v>
      </c>
      <c r="G67" s="21">
        <f ca="1">+IFERROR(VLOOKUP(D67, 'Simulador DATOS'!F:R,9,0),"")</f>
        <v>9110.899952298787</v>
      </c>
      <c r="H67" s="197">
        <f ca="1">+IFERROR(VLOOKUP(D67, 'Simulador DATOS'!F:R,10,0),"")</f>
        <v>158.17640404166491</v>
      </c>
      <c r="I67" s="197"/>
      <c r="J67" s="197">
        <f ca="1">+IFERROR(VLOOKUP(D67, 'Simulador DATOS'!F:R,11,0),"")</f>
        <v>89.35</v>
      </c>
      <c r="K67" s="197"/>
      <c r="L67" s="197">
        <f ca="1">+IFERROR(VLOOKUP(D67, 'Simulador DATOS'!F:R,12,0),"")</f>
        <v>7.0635959583350854</v>
      </c>
      <c r="M67" s="197"/>
      <c r="N67" s="130">
        <f>+IFERROR(VLOOKUP(D67, 'Simulador DATOS'!F:S,14,0),"")</f>
        <v>0</v>
      </c>
      <c r="O67" s="198">
        <f ca="1">+IFERROR(VLOOKUP(D67, 'Simulador DATOS'!F:T,15,0),"")</f>
        <v>254.58999999999997</v>
      </c>
      <c r="P67" s="198"/>
      <c r="R67" s="28"/>
    </row>
    <row r="68" spans="2:18" x14ac:dyDescent="0.35">
      <c r="B68" s="27"/>
      <c r="D68" s="182">
        <f t="shared" si="0"/>
        <v>17</v>
      </c>
      <c r="E68" s="182"/>
      <c r="F68" s="20">
        <f>+IFERROR(VLOOKUP(D68, 'Simulador DATOS'!F:R,6,0),"")</f>
        <v>46631</v>
      </c>
      <c r="G68" s="21">
        <f ca="1">+IFERROR(VLOOKUP(D68, 'Simulador DATOS'!F:R,9,0),"")</f>
        <v>8952.7235482571214</v>
      </c>
      <c r="H68" s="197">
        <f ca="1">+IFERROR(VLOOKUP(D68, 'Simulador DATOS'!F:R,10,0),"")</f>
        <v>159.84903673592592</v>
      </c>
      <c r="I68" s="197"/>
      <c r="J68" s="197">
        <f ca="1">+IFERROR(VLOOKUP(D68, 'Simulador DATOS'!F:R,11,0),"")</f>
        <v>87.8</v>
      </c>
      <c r="K68" s="197"/>
      <c r="L68" s="197">
        <f ca="1">+IFERROR(VLOOKUP(D68, 'Simulador DATOS'!F:R,12,0),"")</f>
        <v>6.9409632640740995</v>
      </c>
      <c r="M68" s="197"/>
      <c r="N68" s="130">
        <f>+IFERROR(VLOOKUP(D68, 'Simulador DATOS'!F:S,14,0),"")</f>
        <v>0</v>
      </c>
      <c r="O68" s="198">
        <f ca="1">+IFERROR(VLOOKUP(D68, 'Simulador DATOS'!F:T,15,0),"")</f>
        <v>254.59</v>
      </c>
      <c r="P68" s="198"/>
      <c r="R68" s="28"/>
    </row>
    <row r="69" spans="2:18" x14ac:dyDescent="0.35">
      <c r="B69" s="27"/>
      <c r="D69" s="182">
        <f t="shared" si="0"/>
        <v>18</v>
      </c>
      <c r="E69" s="182"/>
      <c r="F69" s="20">
        <f>+IFERROR(VLOOKUP(D69, 'Simulador DATOS'!F:R,6,0),"")</f>
        <v>46661</v>
      </c>
      <c r="G69" s="21">
        <f ca="1">+IFERROR(VLOOKUP(D69, 'Simulador DATOS'!F:R,9,0),"")</f>
        <v>8792.874511521195</v>
      </c>
      <c r="H69" s="197">
        <f ca="1">+IFERROR(VLOOKUP(D69, 'Simulador DATOS'!F:R,10,0),"")</f>
        <v>164.56295299571283</v>
      </c>
      <c r="I69" s="197"/>
      <c r="J69" s="197">
        <f ca="1">+IFERROR(VLOOKUP(D69, 'Simulador DATOS'!F:R,11,0),"")</f>
        <v>83.43</v>
      </c>
      <c r="K69" s="197"/>
      <c r="L69" s="197">
        <f ca="1">+IFERROR(VLOOKUP(D69, 'Simulador DATOS'!F:R,12,0),"")</f>
        <v>6.5970470042871581</v>
      </c>
      <c r="M69" s="197"/>
      <c r="N69" s="130">
        <f>+IFERROR(VLOOKUP(D69, 'Simulador DATOS'!F:S,14,0),"")</f>
        <v>0</v>
      </c>
      <c r="O69" s="198">
        <f ca="1">+IFERROR(VLOOKUP(D69, 'Simulador DATOS'!F:T,15,0),"")</f>
        <v>254.59</v>
      </c>
      <c r="P69" s="198"/>
      <c r="R69" s="28"/>
    </row>
    <row r="70" spans="2:18" x14ac:dyDescent="0.35">
      <c r="B70" s="27"/>
      <c r="D70" s="182">
        <f t="shared" si="0"/>
        <v>19</v>
      </c>
      <c r="E70" s="182"/>
      <c r="F70" s="20">
        <f>+IFERROR(VLOOKUP(D70, 'Simulador DATOS'!F:R,6,0),"")</f>
        <v>46692</v>
      </c>
      <c r="G70" s="21">
        <f ca="1">+IFERROR(VLOOKUP(D70, 'Simulador DATOS'!F:R,9,0),"")</f>
        <v>8628.3115585254818</v>
      </c>
      <c r="H70" s="197">
        <f ca="1">+IFERROR(VLOOKUP(D70, 'Simulador DATOS'!F:R,10,0),"")</f>
        <v>163.29055033299113</v>
      </c>
      <c r="I70" s="197"/>
      <c r="J70" s="197">
        <f ca="1">+IFERROR(VLOOKUP(D70, 'Simulador DATOS'!F:R,11,0),"")</f>
        <v>84.61</v>
      </c>
      <c r="K70" s="197"/>
      <c r="L70" s="197">
        <f ca="1">+IFERROR(VLOOKUP(D70, 'Simulador DATOS'!F:R,12,0),"")</f>
        <v>6.6894496670088968</v>
      </c>
      <c r="M70" s="197"/>
      <c r="N70" s="130">
        <f>+IFERROR(VLOOKUP(D70, 'Simulador DATOS'!F:S,14,0),"")</f>
        <v>0</v>
      </c>
      <c r="O70" s="198">
        <f ca="1">+IFERROR(VLOOKUP(D70, 'Simulador DATOS'!F:T,15,0),"")</f>
        <v>254.59000000000003</v>
      </c>
      <c r="P70" s="198"/>
      <c r="R70" s="28"/>
    </row>
    <row r="71" spans="2:18" x14ac:dyDescent="0.35">
      <c r="B71" s="27"/>
      <c r="D71" s="182">
        <f t="shared" si="0"/>
        <v>20</v>
      </c>
      <c r="E71" s="182"/>
      <c r="F71" s="20">
        <f>+IFERROR(VLOOKUP(D71, 'Simulador DATOS'!F:R,6,0),"")</f>
        <v>46722</v>
      </c>
      <c r="G71" s="21">
        <f ca="1">+IFERROR(VLOOKUP(D71, 'Simulador DATOS'!F:R,9,0),"")</f>
        <v>8465.0210081924906</v>
      </c>
      <c r="H71" s="197">
        <f ca="1">+IFERROR(VLOOKUP(D71, 'Simulador DATOS'!F:R,10,0),"")</f>
        <v>167.91893227918217</v>
      </c>
      <c r="I71" s="197"/>
      <c r="J71" s="197">
        <f ca="1">+IFERROR(VLOOKUP(D71, 'Simulador DATOS'!F:R,11,0),"")</f>
        <v>80.319999999999993</v>
      </c>
      <c r="K71" s="197"/>
      <c r="L71" s="197">
        <f ca="1">+IFERROR(VLOOKUP(D71, 'Simulador DATOS'!F:R,12,0),"")</f>
        <v>6.3510677208178326</v>
      </c>
      <c r="M71" s="197"/>
      <c r="N71" s="130">
        <f>+IFERROR(VLOOKUP(D71, 'Simulador DATOS'!F:S,14,0),"")</f>
        <v>0</v>
      </c>
      <c r="O71" s="198">
        <f ca="1">+IFERROR(VLOOKUP(D71, 'Simulador DATOS'!F:T,15,0),"")</f>
        <v>254.59</v>
      </c>
      <c r="P71" s="198"/>
      <c r="R71" s="28"/>
    </row>
    <row r="72" spans="2:18" x14ac:dyDescent="0.35">
      <c r="B72" s="27"/>
      <c r="D72" s="182">
        <f t="shared" si="0"/>
        <v>21</v>
      </c>
      <c r="E72" s="182"/>
      <c r="F72" s="20">
        <f>+IFERROR(VLOOKUP(D72, 'Simulador DATOS'!F:R,6,0),"")</f>
        <v>46753</v>
      </c>
      <c r="G72" s="21">
        <f ca="1">+IFERROR(VLOOKUP(D72, 'Simulador DATOS'!F:R,9,0),"")</f>
        <v>8297.102075913308</v>
      </c>
      <c r="H72" s="197">
        <f ca="1">+IFERROR(VLOOKUP(D72, 'Simulador DATOS'!F:R,10,0),"")</f>
        <v>166.78733396303758</v>
      </c>
      <c r="I72" s="197"/>
      <c r="J72" s="197">
        <f ca="1">+IFERROR(VLOOKUP(D72, 'Simulador DATOS'!F:R,11,0),"")</f>
        <v>81.37</v>
      </c>
      <c r="K72" s="197"/>
      <c r="L72" s="197">
        <f ca="1">+IFERROR(VLOOKUP(D72, 'Simulador DATOS'!F:R,12,0),"")</f>
        <v>6.4326660369624138</v>
      </c>
      <c r="M72" s="197"/>
      <c r="N72" s="130">
        <f>+IFERROR(VLOOKUP(D72, 'Simulador DATOS'!F:S,14,0),"")</f>
        <v>0</v>
      </c>
      <c r="O72" s="198">
        <f ca="1">+IFERROR(VLOOKUP(D72, 'Simulador DATOS'!F:T,15,0),"")</f>
        <v>254.59</v>
      </c>
      <c r="P72" s="198"/>
      <c r="R72" s="28"/>
    </row>
    <row r="73" spans="2:18" x14ac:dyDescent="0.35">
      <c r="B73" s="27"/>
      <c r="D73" s="182">
        <f t="shared" si="0"/>
        <v>22</v>
      </c>
      <c r="E73" s="182"/>
      <c r="F73" s="20">
        <f>+IFERROR(VLOOKUP(D73, 'Simulador DATOS'!F:R,6,0),"")</f>
        <v>46784</v>
      </c>
      <c r="G73" s="21">
        <f ca="1">+IFERROR(VLOOKUP(D73, 'Simulador DATOS'!F:R,9,0),"")</f>
        <v>8130.3147419502702</v>
      </c>
      <c r="H73" s="197">
        <f ca="1">+IFERROR(VLOOKUP(D73, 'Simulador DATOS'!F:R,10,0),"")</f>
        <v>168.55664263114403</v>
      </c>
      <c r="I73" s="197"/>
      <c r="J73" s="197">
        <f ca="1">+IFERROR(VLOOKUP(D73, 'Simulador DATOS'!F:R,11,0),"")</f>
        <v>79.73</v>
      </c>
      <c r="K73" s="197"/>
      <c r="L73" s="197">
        <f ca="1">+IFERROR(VLOOKUP(D73, 'Simulador DATOS'!F:R,12,0),"")</f>
        <v>6.3033573688559725</v>
      </c>
      <c r="M73" s="197"/>
      <c r="N73" s="130">
        <f>+IFERROR(VLOOKUP(D73, 'Simulador DATOS'!F:S,14,0),"")</f>
        <v>0</v>
      </c>
      <c r="O73" s="198">
        <f ca="1">+IFERROR(VLOOKUP(D73, 'Simulador DATOS'!F:T,15,0),"")</f>
        <v>254.59000000000003</v>
      </c>
      <c r="P73" s="198"/>
      <c r="R73" s="28"/>
    </row>
    <row r="74" spans="2:18" x14ac:dyDescent="0.35">
      <c r="B74" s="27"/>
      <c r="D74" s="182">
        <f t="shared" si="0"/>
        <v>23</v>
      </c>
      <c r="E74" s="182"/>
      <c r="F74" s="20">
        <f>+IFERROR(VLOOKUP(D74, 'Simulador DATOS'!F:R,6,0),"")</f>
        <v>46813</v>
      </c>
      <c r="G74" s="21">
        <f ca="1">+IFERROR(VLOOKUP(D74, 'Simulador DATOS'!F:R,9,0),"")</f>
        <v>7961.7580993191259</v>
      </c>
      <c r="H74" s="197">
        <f ca="1">+IFERROR(VLOOKUP(D74, 'Simulador DATOS'!F:R,10,0),"")</f>
        <v>175.79570462723936</v>
      </c>
      <c r="I74" s="197"/>
      <c r="J74" s="197">
        <f ca="1">+IFERROR(VLOOKUP(D74, 'Simulador DATOS'!F:R,11,0),"")</f>
        <v>73.02</v>
      </c>
      <c r="K74" s="197"/>
      <c r="L74" s="197">
        <f ca="1">+IFERROR(VLOOKUP(D74, 'Simulador DATOS'!F:R,12,0),"")</f>
        <v>5.774295372760621</v>
      </c>
      <c r="M74" s="197"/>
      <c r="N74" s="130">
        <f>+IFERROR(VLOOKUP(D74, 'Simulador DATOS'!F:S,14,0),"")</f>
        <v>0</v>
      </c>
      <c r="O74" s="198">
        <f ca="1">+IFERROR(VLOOKUP(D74, 'Simulador DATOS'!F:T,15,0),"")</f>
        <v>254.59</v>
      </c>
      <c r="P74" s="198"/>
      <c r="R74" s="28"/>
    </row>
    <row r="75" spans="2:18" x14ac:dyDescent="0.35">
      <c r="B75" s="27"/>
      <c r="D75" s="182">
        <f t="shared" si="0"/>
        <v>24</v>
      </c>
      <c r="E75" s="182"/>
      <c r="F75" s="20">
        <f>+IFERROR(VLOOKUP(D75, 'Simulador DATOS'!F:R,6,0),"")</f>
        <v>46844</v>
      </c>
      <c r="G75" s="21">
        <f ca="1">+IFERROR(VLOOKUP(D75, 'Simulador DATOS'!F:R,9,0),"")</f>
        <v>7785.9623946918864</v>
      </c>
      <c r="H75" s="197">
        <f ca="1">+IFERROR(VLOOKUP(D75, 'Simulador DATOS'!F:R,10,0),"")</f>
        <v>172.2036158018596</v>
      </c>
      <c r="I75" s="197"/>
      <c r="J75" s="197">
        <f ca="1">+IFERROR(VLOOKUP(D75, 'Simulador DATOS'!F:R,11,0),"")</f>
        <v>76.349999999999994</v>
      </c>
      <c r="K75" s="197"/>
      <c r="L75" s="197">
        <f ca="1">+IFERROR(VLOOKUP(D75, 'Simulador DATOS'!F:R,12,0),"")</f>
        <v>6.0363841981404054</v>
      </c>
      <c r="M75" s="197"/>
      <c r="N75" s="130">
        <f>+IFERROR(VLOOKUP(D75, 'Simulador DATOS'!F:S,14,0),"")</f>
        <v>0</v>
      </c>
      <c r="O75" s="198">
        <f ca="1">+IFERROR(VLOOKUP(D75, 'Simulador DATOS'!F:T,15,0),"")</f>
        <v>254.59</v>
      </c>
      <c r="P75" s="198"/>
      <c r="R75" s="28"/>
    </row>
    <row r="76" spans="2:18" x14ac:dyDescent="0.35">
      <c r="B76" s="27"/>
      <c r="D76" s="182">
        <f t="shared" si="0"/>
        <v>25</v>
      </c>
      <c r="E76" s="182"/>
      <c r="F76" s="20">
        <f>+IFERROR(VLOOKUP(D76, 'Simulador DATOS'!F:R,6,0),"")</f>
        <v>46874</v>
      </c>
      <c r="G76" s="21">
        <f ca="1">+IFERROR(VLOOKUP(D76, 'Simulador DATOS'!F:R,9,0),"")</f>
        <v>7613.7587788900264</v>
      </c>
      <c r="H76" s="197">
        <f ca="1">+IFERROR(VLOOKUP(D76, 'Simulador DATOS'!F:R,10,0),"")</f>
        <v>176.62761044208833</v>
      </c>
      <c r="I76" s="197"/>
      <c r="J76" s="197">
        <f ca="1">+IFERROR(VLOOKUP(D76, 'Simulador DATOS'!F:R,11,0),"")</f>
        <v>72.25</v>
      </c>
      <c r="K76" s="197"/>
      <c r="L76" s="197">
        <f ca="1">+IFERROR(VLOOKUP(D76, 'Simulador DATOS'!F:R,12,0),"")</f>
        <v>5.7123895579116875</v>
      </c>
      <c r="M76" s="197"/>
      <c r="N76" s="130">
        <f>+IFERROR(VLOOKUP(D76, 'Simulador DATOS'!F:S,14,0),"")</f>
        <v>0</v>
      </c>
      <c r="O76" s="198">
        <f ca="1">+IFERROR(VLOOKUP(D76, 'Simulador DATOS'!F:T,15,0),"")</f>
        <v>254.59</v>
      </c>
      <c r="P76" s="198"/>
      <c r="R76" s="28"/>
    </row>
    <row r="77" spans="2:18" x14ac:dyDescent="0.35">
      <c r="B77" s="27"/>
      <c r="D77" s="182">
        <f t="shared" si="0"/>
        <v>26</v>
      </c>
      <c r="E77" s="182"/>
      <c r="F77" s="20">
        <f>+IFERROR(VLOOKUP(D77, 'Simulador DATOS'!F:R,6,0),"")</f>
        <v>46905</v>
      </c>
      <c r="G77" s="21">
        <f ca="1">+IFERROR(VLOOKUP(D77, 'Simulador DATOS'!F:R,9,0),"")</f>
        <v>7437.1311684479379</v>
      </c>
      <c r="H77" s="197">
        <f ca="1">+IFERROR(VLOOKUP(D77, 'Simulador DATOS'!F:R,10,0),"")</f>
        <v>175.89406140577779</v>
      </c>
      <c r="I77" s="197"/>
      <c r="J77" s="197">
        <f ca="1">+IFERROR(VLOOKUP(D77, 'Simulador DATOS'!F:R,11,0),"")</f>
        <v>72.930000000000007</v>
      </c>
      <c r="K77" s="197"/>
      <c r="L77" s="197">
        <f ca="1">+IFERROR(VLOOKUP(D77, 'Simulador DATOS'!F:R,12,0),"")</f>
        <v>5.7659385942221961</v>
      </c>
      <c r="M77" s="197"/>
      <c r="N77" s="130">
        <f>+IFERROR(VLOOKUP(D77, 'Simulador DATOS'!F:S,14,0),"")</f>
        <v>0</v>
      </c>
      <c r="O77" s="198">
        <f ca="1">+IFERROR(VLOOKUP(D77, 'Simulador DATOS'!F:T,15,0),"")</f>
        <v>254.59</v>
      </c>
      <c r="P77" s="198"/>
      <c r="R77" s="28"/>
    </row>
    <row r="78" spans="2:18" x14ac:dyDescent="0.35">
      <c r="B78" s="27"/>
      <c r="D78" s="182">
        <f t="shared" si="0"/>
        <v>27</v>
      </c>
      <c r="E78" s="182"/>
      <c r="F78" s="20">
        <f>+IFERROR(VLOOKUP(D78, 'Simulador DATOS'!F:R,6,0),"")</f>
        <v>46935</v>
      </c>
      <c r="G78" s="21">
        <f ca="1">+IFERROR(VLOOKUP(D78, 'Simulador DATOS'!F:R,9,0),"")</f>
        <v>7261.2371070421605</v>
      </c>
      <c r="H78" s="197">
        <f ca="1">+IFERROR(VLOOKUP(D78, 'Simulador DATOS'!F:R,10,0),"")</f>
        <v>180.24209756017046</v>
      </c>
      <c r="I78" s="197"/>
      <c r="J78" s="197">
        <f ca="1">+IFERROR(VLOOKUP(D78, 'Simulador DATOS'!F:R,11,0),"")</f>
        <v>68.900000000000006</v>
      </c>
      <c r="K78" s="197"/>
      <c r="L78" s="197">
        <f ca="1">+IFERROR(VLOOKUP(D78, 'Simulador DATOS'!F:R,12,0),"")</f>
        <v>5.4479024398295337</v>
      </c>
      <c r="M78" s="197"/>
      <c r="N78" s="130">
        <f>+IFERROR(VLOOKUP(D78, 'Simulador DATOS'!F:S,14,0),"")</f>
        <v>0</v>
      </c>
      <c r="O78" s="198">
        <f ca="1">+IFERROR(VLOOKUP(D78, 'Simulador DATOS'!F:T,15,0),"")</f>
        <v>254.59</v>
      </c>
      <c r="P78" s="198"/>
      <c r="R78" s="28"/>
    </row>
    <row r="79" spans="2:18" x14ac:dyDescent="0.35">
      <c r="B79" s="27"/>
      <c r="D79" s="182">
        <f t="shared" si="0"/>
        <v>28</v>
      </c>
      <c r="E79" s="182"/>
      <c r="F79" s="20">
        <f>+IFERROR(VLOOKUP(D79, 'Simulador DATOS'!F:R,6,0),"")</f>
        <v>46966</v>
      </c>
      <c r="G79" s="21">
        <f ca="1">+IFERROR(VLOOKUP(D79, 'Simulador DATOS'!F:R,9,0),"")</f>
        <v>7080.9950094819897</v>
      </c>
      <c r="H79" s="197">
        <f ca="1">+IFERROR(VLOOKUP(D79, 'Simulador DATOS'!F:R,10,0),"")</f>
        <v>179.66017045606478</v>
      </c>
      <c r="I79" s="197"/>
      <c r="J79" s="197">
        <f ca="1">+IFERROR(VLOOKUP(D79, 'Simulador DATOS'!F:R,11,0),"")</f>
        <v>69.44</v>
      </c>
      <c r="K79" s="197"/>
      <c r="L79" s="197">
        <f ca="1">+IFERROR(VLOOKUP(D79, 'Simulador DATOS'!F:R,12,0),"")</f>
        <v>5.4898295439352225</v>
      </c>
      <c r="M79" s="197"/>
      <c r="N79" s="130">
        <f>+IFERROR(VLOOKUP(D79, 'Simulador DATOS'!F:S,14,0),"")</f>
        <v>0</v>
      </c>
      <c r="O79" s="198">
        <f ca="1">+IFERROR(VLOOKUP(D79, 'Simulador DATOS'!F:T,15,0),"")</f>
        <v>254.59</v>
      </c>
      <c r="P79" s="198"/>
      <c r="R79" s="28"/>
    </row>
    <row r="80" spans="2:18" x14ac:dyDescent="0.35">
      <c r="B80" s="27"/>
      <c r="D80" s="182">
        <f t="shared" si="0"/>
        <v>29</v>
      </c>
      <c r="E80" s="182"/>
      <c r="F80" s="20">
        <f>+IFERROR(VLOOKUP(D80, 'Simulador DATOS'!F:R,6,0),"")</f>
        <v>46997</v>
      </c>
      <c r="G80" s="21">
        <f ca="1">+IFERROR(VLOOKUP(D80, 'Simulador DATOS'!F:R,9,0),"")</f>
        <v>6901.3348390259252</v>
      </c>
      <c r="H80" s="197">
        <f ca="1">+IFERROR(VLOOKUP(D80, 'Simulador DATOS'!F:R,10,0),"")</f>
        <v>181.5594593145257</v>
      </c>
      <c r="I80" s="197"/>
      <c r="J80" s="197">
        <f ca="1">+IFERROR(VLOOKUP(D80, 'Simulador DATOS'!F:R,11,0),"")</f>
        <v>67.680000000000007</v>
      </c>
      <c r="K80" s="197"/>
      <c r="L80" s="197">
        <f ca="1">+IFERROR(VLOOKUP(D80, 'Simulador DATOS'!F:R,12,0),"")</f>
        <v>5.3505406854743134</v>
      </c>
      <c r="M80" s="197"/>
      <c r="N80" s="130">
        <f>+IFERROR(VLOOKUP(D80, 'Simulador DATOS'!F:S,14,0),"")</f>
        <v>0</v>
      </c>
      <c r="O80" s="198">
        <f ca="1">+IFERROR(VLOOKUP(D80, 'Simulador DATOS'!F:T,15,0),"")</f>
        <v>254.59</v>
      </c>
      <c r="P80" s="198"/>
      <c r="R80" s="28"/>
    </row>
    <row r="81" spans="2:18" x14ac:dyDescent="0.35">
      <c r="B81" s="27"/>
      <c r="D81" s="182">
        <f t="shared" si="0"/>
        <v>30</v>
      </c>
      <c r="E81" s="182"/>
      <c r="F81" s="20">
        <f>+IFERROR(VLOOKUP(D81, 'Simulador DATOS'!F:R,6,0),"")</f>
        <v>47027</v>
      </c>
      <c r="G81" s="21">
        <f ca="1">+IFERROR(VLOOKUP(D81, 'Simulador DATOS'!F:R,9,0),"")</f>
        <v>6719.7753797113992</v>
      </c>
      <c r="H81" s="197">
        <f ca="1">+IFERROR(VLOOKUP(D81, 'Simulador DATOS'!F:R,10,0),"")</f>
        <v>185.78834109993022</v>
      </c>
      <c r="I81" s="197"/>
      <c r="J81" s="197">
        <f ca="1">+IFERROR(VLOOKUP(D81, 'Simulador DATOS'!F:R,11,0),"")</f>
        <v>63.76</v>
      </c>
      <c r="K81" s="197"/>
      <c r="L81" s="197">
        <f ca="1">+IFERROR(VLOOKUP(D81, 'Simulador DATOS'!F:R,12,0),"")</f>
        <v>5.0416589000697956</v>
      </c>
      <c r="M81" s="197"/>
      <c r="N81" s="130">
        <f>+IFERROR(VLOOKUP(D81, 'Simulador DATOS'!F:S,14,0),"")</f>
        <v>0</v>
      </c>
      <c r="O81" s="198">
        <f ca="1">+IFERROR(VLOOKUP(D81, 'Simulador DATOS'!F:T,15,0),"")</f>
        <v>254.59</v>
      </c>
      <c r="P81" s="198"/>
      <c r="R81" s="28"/>
    </row>
    <row r="82" spans="2:18" x14ac:dyDescent="0.35">
      <c r="B82" s="27"/>
      <c r="D82" s="182">
        <f t="shared" si="0"/>
        <v>31</v>
      </c>
      <c r="E82" s="182"/>
      <c r="F82" s="20">
        <f>+IFERROR(VLOOKUP(D82, 'Simulador DATOS'!F:R,6,0),"")</f>
        <v>47058</v>
      </c>
      <c r="G82" s="21">
        <f ca="1">+IFERROR(VLOOKUP(D82, 'Simulador DATOS'!F:R,9,0),"")</f>
        <v>6533.987038611469</v>
      </c>
      <c r="H82" s="197">
        <f ca="1">+IFERROR(VLOOKUP(D82, 'Simulador DATOS'!F:R,10,0),"")</f>
        <v>185.4442606461061</v>
      </c>
      <c r="I82" s="197"/>
      <c r="J82" s="197">
        <f ca="1">+IFERROR(VLOOKUP(D82, 'Simulador DATOS'!F:R,11,0),"")</f>
        <v>64.08</v>
      </c>
      <c r="K82" s="197"/>
      <c r="L82" s="197">
        <f ca="1">+IFERROR(VLOOKUP(D82, 'Simulador DATOS'!F:R,12,0),"")</f>
        <v>5.0657393538938758</v>
      </c>
      <c r="M82" s="197"/>
      <c r="N82" s="130">
        <f>+IFERROR(VLOOKUP(D82, 'Simulador DATOS'!F:S,14,0),"")</f>
        <v>0</v>
      </c>
      <c r="O82" s="198">
        <f ca="1">+IFERROR(VLOOKUP(D82, 'Simulador DATOS'!F:T,15,0),"")</f>
        <v>254.58999999999997</v>
      </c>
      <c r="P82" s="198"/>
      <c r="R82" s="28"/>
    </row>
    <row r="83" spans="2:18" x14ac:dyDescent="0.35">
      <c r="B83" s="27"/>
      <c r="D83" s="182">
        <f t="shared" si="0"/>
        <v>32</v>
      </c>
      <c r="E83" s="182"/>
      <c r="F83" s="20">
        <f>+IFERROR(VLOOKUP(D83, 'Simulador DATOS'!F:R,6,0),"")</f>
        <v>47088</v>
      </c>
      <c r="G83" s="21">
        <f ca="1">+IFERROR(VLOOKUP(D83, 'Simulador DATOS'!F:R,9,0),"")</f>
        <v>6348.5427779653628</v>
      </c>
      <c r="H83" s="197">
        <f ca="1">+IFERROR(VLOOKUP(D83, 'Simulador DATOS'!F:R,10,0),"")</f>
        <v>189.58686650365721</v>
      </c>
      <c r="I83" s="197"/>
      <c r="J83" s="197">
        <f ca="1">+IFERROR(VLOOKUP(D83, 'Simulador DATOS'!F:R,11,0),"")</f>
        <v>60.24</v>
      </c>
      <c r="K83" s="197"/>
      <c r="L83" s="197">
        <f ca="1">+IFERROR(VLOOKUP(D83, 'Simulador DATOS'!F:R,12,0),"")</f>
        <v>4.7631334963427809</v>
      </c>
      <c r="M83" s="197"/>
      <c r="N83" s="130">
        <f>+IFERROR(VLOOKUP(D83, 'Simulador DATOS'!F:S,14,0),"")</f>
        <v>0</v>
      </c>
      <c r="O83" s="198">
        <f ca="1">+IFERROR(VLOOKUP(D83, 'Simulador DATOS'!F:T,15,0),"")</f>
        <v>254.59</v>
      </c>
      <c r="P83" s="198"/>
      <c r="R83" s="28"/>
    </row>
    <row r="84" spans="2:18" x14ac:dyDescent="0.35">
      <c r="B84" s="27"/>
      <c r="D84" s="182">
        <f t="shared" si="0"/>
        <v>33</v>
      </c>
      <c r="E84" s="182"/>
      <c r="F84" s="20">
        <f>+IFERROR(VLOOKUP(D84, 'Simulador DATOS'!F:R,6,0),"")</f>
        <v>47119</v>
      </c>
      <c r="G84" s="21">
        <f ca="1">+IFERROR(VLOOKUP(D84, 'Simulador DATOS'!F:R,9,0),"")</f>
        <v>6158.9559114617059</v>
      </c>
      <c r="H84" s="197">
        <f ca="1">+IFERROR(VLOOKUP(D84, 'Simulador DATOS'!F:R,10,0),"")</f>
        <v>189.41501878941298</v>
      </c>
      <c r="I84" s="197"/>
      <c r="J84" s="197">
        <f ca="1">+IFERROR(VLOOKUP(D84, 'Simulador DATOS'!F:R,11,0),"")</f>
        <v>60.4</v>
      </c>
      <c r="K84" s="197"/>
      <c r="L84" s="197">
        <f ca="1">+IFERROR(VLOOKUP(D84, 'Simulador DATOS'!F:R,12,0),"")</f>
        <v>4.7749812105870202</v>
      </c>
      <c r="M84" s="197"/>
      <c r="N84" s="130">
        <f>+IFERROR(VLOOKUP(D84, 'Simulador DATOS'!F:S,14,0),"")</f>
        <v>0</v>
      </c>
      <c r="O84" s="198">
        <f ca="1">+IFERROR(VLOOKUP(D84, 'Simulador DATOS'!F:T,15,0),"")</f>
        <v>254.59</v>
      </c>
      <c r="P84" s="198"/>
      <c r="R84" s="28"/>
    </row>
    <row r="85" spans="2:18" x14ac:dyDescent="0.35">
      <c r="B85" s="27"/>
      <c r="D85" s="182">
        <f t="shared" ref="D85:D111" si="1">+IF(D84="", "", IF((D84+1)&gt;$G$15,"", D84+1))</f>
        <v>34</v>
      </c>
      <c r="E85" s="182"/>
      <c r="F85" s="20">
        <f>+IFERROR(VLOOKUP(D85, 'Simulador DATOS'!F:R,6,0),"")</f>
        <v>47150</v>
      </c>
      <c r="G85" s="21">
        <f ca="1">+IFERROR(VLOOKUP(D85, 'Simulador DATOS'!F:R,9,0),"")</f>
        <v>5969.540892672293</v>
      </c>
      <c r="H85" s="197">
        <f ca="1">+IFERROR(VLOOKUP(D85, 'Simulador DATOS'!F:R,10,0),"")</f>
        <v>191.42187049102029</v>
      </c>
      <c r="I85" s="197"/>
      <c r="J85" s="197">
        <f ca="1">+IFERROR(VLOOKUP(D85, 'Simulador DATOS'!F:R,11,0),"")</f>
        <v>58.54</v>
      </c>
      <c r="K85" s="197"/>
      <c r="L85" s="197">
        <f ca="1">+IFERROR(VLOOKUP(D85, 'Simulador DATOS'!F:R,12,0),"")</f>
        <v>4.628129508979729</v>
      </c>
      <c r="M85" s="197"/>
      <c r="N85" s="130">
        <f>+IFERROR(VLOOKUP(D85, 'Simulador DATOS'!F:S,14,0),"")</f>
        <v>0</v>
      </c>
      <c r="O85" s="198">
        <f ca="1">+IFERROR(VLOOKUP(D85, 'Simulador DATOS'!F:T,15,0),"")</f>
        <v>254.59</v>
      </c>
      <c r="P85" s="198"/>
      <c r="R85" s="28"/>
    </row>
    <row r="86" spans="2:18" x14ac:dyDescent="0.35">
      <c r="B86" s="27"/>
      <c r="D86" s="182">
        <f t="shared" si="1"/>
        <v>35</v>
      </c>
      <c r="E86" s="182"/>
      <c r="F86" s="20">
        <f>+IFERROR(VLOOKUP(D86, 'Simulador DATOS'!F:R,6,0),"")</f>
        <v>47178</v>
      </c>
      <c r="G86" s="21">
        <f ca="1">+IFERROR(VLOOKUP(D86, 'Simulador DATOS'!F:R,9,0),"")</f>
        <v>5778.1190221812731</v>
      </c>
      <c r="H86" s="197">
        <f ca="1">+IFERROR(VLOOKUP(D86, 'Simulador DATOS'!F:R,10,0),"")</f>
        <v>199.38395130804216</v>
      </c>
      <c r="I86" s="197"/>
      <c r="J86" s="197">
        <f ca="1">+IFERROR(VLOOKUP(D86, 'Simulador DATOS'!F:R,11,0),"")</f>
        <v>51.16</v>
      </c>
      <c r="K86" s="197"/>
      <c r="L86" s="197">
        <f ca="1">+IFERROR(VLOOKUP(D86, 'Simulador DATOS'!F:R,12,0),"")</f>
        <v>4.0460486919578438</v>
      </c>
      <c r="M86" s="197"/>
      <c r="N86" s="130">
        <f>+IFERROR(VLOOKUP(D86, 'Simulador DATOS'!F:S,14,0),"")</f>
        <v>0</v>
      </c>
      <c r="O86" s="198">
        <f ca="1">+IFERROR(VLOOKUP(D86, 'Simulador DATOS'!F:T,15,0),"")</f>
        <v>254.59</v>
      </c>
      <c r="P86" s="198"/>
      <c r="R86" s="28"/>
    </row>
    <row r="87" spans="2:18" x14ac:dyDescent="0.35">
      <c r="B87" s="27"/>
      <c r="D87" s="182">
        <f t="shared" si="1"/>
        <v>36</v>
      </c>
      <c r="E87" s="182"/>
      <c r="F87" s="20">
        <f>+IFERROR(VLOOKUP(D87, 'Simulador DATOS'!F:R,6,0),"")</f>
        <v>47209</v>
      </c>
      <c r="G87" s="21">
        <f ca="1">+IFERROR(VLOOKUP(D87, 'Simulador DATOS'!F:R,9,0),"")</f>
        <v>5578.7350708732311</v>
      </c>
      <c r="H87" s="197">
        <f ca="1">+IFERROR(VLOOKUP(D87, 'Simulador DATOS'!F:R,10,0),"")</f>
        <v>195.55485860830908</v>
      </c>
      <c r="I87" s="197"/>
      <c r="J87" s="197">
        <f ca="1">+IFERROR(VLOOKUP(D87, 'Simulador DATOS'!F:R,11,0),"")</f>
        <v>54.71</v>
      </c>
      <c r="K87" s="197"/>
      <c r="L87" s="197">
        <f ca="1">+IFERROR(VLOOKUP(D87, 'Simulador DATOS'!F:R,12,0),"")</f>
        <v>4.3251413916909236</v>
      </c>
      <c r="M87" s="197"/>
      <c r="N87" s="130">
        <f>+IFERROR(VLOOKUP(D87, 'Simulador DATOS'!F:S,14,0),"")</f>
        <v>0</v>
      </c>
      <c r="O87" s="198">
        <f ca="1">+IFERROR(VLOOKUP(D87, 'Simulador DATOS'!F:T,15,0),"")</f>
        <v>254.59</v>
      </c>
      <c r="P87" s="198"/>
      <c r="R87" s="28"/>
    </row>
    <row r="88" spans="2:18" x14ac:dyDescent="0.35">
      <c r="B88" s="27"/>
      <c r="D88" s="182">
        <f t="shared" si="1"/>
        <v>37</v>
      </c>
      <c r="E88" s="182"/>
      <c r="F88" s="20">
        <f>+IFERROR(VLOOKUP(D88, 'Simulador DATOS'!F:R,6,0),"")</f>
        <v>47239</v>
      </c>
      <c r="G88" s="21">
        <f ca="1">+IFERROR(VLOOKUP(D88, 'Simulador DATOS'!F:R,9,0),"")</f>
        <v>5383.1802122649224</v>
      </c>
      <c r="H88" s="197">
        <f ca="1">+IFERROR(VLOOKUP(D88, 'Simulador DATOS'!F:R,10,0),"")</f>
        <v>199.47115094713021</v>
      </c>
      <c r="I88" s="197"/>
      <c r="J88" s="197">
        <f ca="1">+IFERROR(VLOOKUP(D88, 'Simulador DATOS'!F:R,11,0),"")</f>
        <v>51.08</v>
      </c>
      <c r="K88" s="197"/>
      <c r="L88" s="197">
        <f ca="1">+IFERROR(VLOOKUP(D88, 'Simulador DATOS'!F:R,12,0),"")</f>
        <v>4.0388490528697805</v>
      </c>
      <c r="M88" s="197"/>
      <c r="N88" s="130">
        <f>+IFERROR(VLOOKUP(D88, 'Simulador DATOS'!F:S,14,0),"")</f>
        <v>0</v>
      </c>
      <c r="O88" s="198">
        <f ca="1">+IFERROR(VLOOKUP(D88, 'Simulador DATOS'!F:T,15,0),"")</f>
        <v>254.59</v>
      </c>
      <c r="P88" s="198"/>
      <c r="R88" s="28"/>
    </row>
    <row r="89" spans="2:18" x14ac:dyDescent="0.35">
      <c r="B89" s="27"/>
      <c r="D89" s="182">
        <f t="shared" si="1"/>
        <v>38</v>
      </c>
      <c r="E89" s="182"/>
      <c r="F89" s="20">
        <f>+IFERROR(VLOOKUP(D89, 'Simulador DATOS'!F:R,6,0),"")</f>
        <v>47270</v>
      </c>
      <c r="G89" s="21">
        <f ca="1">+IFERROR(VLOOKUP(D89, 'Simulador DATOS'!F:R,9,0),"")</f>
        <v>5183.7090613177925</v>
      </c>
      <c r="H89" s="197">
        <f ca="1">+IFERROR(VLOOKUP(D89, 'Simulador DATOS'!F:R,10,0),"")</f>
        <v>199.74111859789758</v>
      </c>
      <c r="I89" s="197"/>
      <c r="J89" s="197">
        <f ca="1">+IFERROR(VLOOKUP(D89, 'Simulador DATOS'!F:R,11,0),"")</f>
        <v>50.83</v>
      </c>
      <c r="K89" s="197"/>
      <c r="L89" s="197">
        <f ca="1">+IFERROR(VLOOKUP(D89, 'Simulador DATOS'!F:R,12,0),"")</f>
        <v>4.0188814021024086</v>
      </c>
      <c r="M89" s="197"/>
      <c r="N89" s="130">
        <f>+IFERROR(VLOOKUP(D89, 'Simulador DATOS'!F:S,14,0),"")</f>
        <v>0</v>
      </c>
      <c r="O89" s="198">
        <f ca="1">+IFERROR(VLOOKUP(D89, 'Simulador DATOS'!F:T,15,0),"")</f>
        <v>254.58999999999997</v>
      </c>
      <c r="P89" s="198"/>
      <c r="R89" s="28"/>
    </row>
    <row r="90" spans="2:18" x14ac:dyDescent="0.35">
      <c r="B90" s="27"/>
      <c r="D90" s="182">
        <f t="shared" si="1"/>
        <v>39</v>
      </c>
      <c r="E90" s="182"/>
      <c r="F90" s="20">
        <f>+IFERROR(VLOOKUP(D90, 'Simulador DATOS'!F:R,6,0),"")</f>
        <v>47300</v>
      </c>
      <c r="G90" s="21">
        <f ca="1">+IFERROR(VLOOKUP(D90, 'Simulador DATOS'!F:R,9,0),"")</f>
        <v>4983.9679427198953</v>
      </c>
      <c r="H90" s="197">
        <f ca="1">+IFERROR(VLOOKUP(D90, 'Simulador DATOS'!F:R,10,0),"")</f>
        <v>203.56066871045391</v>
      </c>
      <c r="I90" s="197"/>
      <c r="J90" s="197">
        <f ca="1">+IFERROR(VLOOKUP(D90, 'Simulador DATOS'!F:R,11,0),"")</f>
        <v>47.29</v>
      </c>
      <c r="K90" s="197"/>
      <c r="L90" s="197">
        <f ca="1">+IFERROR(VLOOKUP(D90, 'Simulador DATOS'!F:R,12,0),"")</f>
        <v>3.7393312895460924</v>
      </c>
      <c r="M90" s="197"/>
      <c r="N90" s="130">
        <f>+IFERROR(VLOOKUP(D90, 'Simulador DATOS'!F:S,14,0),"")</f>
        <v>0</v>
      </c>
      <c r="O90" s="198">
        <f ca="1">+IFERROR(VLOOKUP(D90, 'Simulador DATOS'!F:T,15,0),"")</f>
        <v>254.59</v>
      </c>
      <c r="P90" s="198"/>
      <c r="R90" s="28"/>
    </row>
    <row r="91" spans="2:18" x14ac:dyDescent="0.35">
      <c r="B91" s="27"/>
      <c r="D91" s="182">
        <f t="shared" si="1"/>
        <v>40</v>
      </c>
      <c r="E91" s="182"/>
      <c r="F91" s="20">
        <f>+IFERROR(VLOOKUP(D91, 'Simulador DATOS'!F:R,6,0),"")</f>
        <v>47331</v>
      </c>
      <c r="G91" s="21">
        <f ca="1">+IFERROR(VLOOKUP(D91, 'Simulador DATOS'!F:R,9,0),"")</f>
        <v>4780.4072740094416</v>
      </c>
      <c r="H91" s="197">
        <f ca="1">+IFERROR(VLOOKUP(D91, 'Simulador DATOS'!F:R,10,0),"")</f>
        <v>204.00379472097387</v>
      </c>
      <c r="I91" s="197"/>
      <c r="J91" s="197">
        <f ca="1">+IFERROR(VLOOKUP(D91, 'Simulador DATOS'!F:R,11,0),"")</f>
        <v>46.88</v>
      </c>
      <c r="K91" s="197"/>
      <c r="L91" s="197">
        <f ca="1">+IFERROR(VLOOKUP(D91, 'Simulador DATOS'!F:R,12,0),"")</f>
        <v>3.7062052790261357</v>
      </c>
      <c r="M91" s="197"/>
      <c r="N91" s="130">
        <f>+IFERROR(VLOOKUP(D91, 'Simulador DATOS'!F:S,14,0),"")</f>
        <v>0</v>
      </c>
      <c r="O91" s="198">
        <f ca="1">+IFERROR(VLOOKUP(D91, 'Simulador DATOS'!F:T,15,0),"")</f>
        <v>254.59</v>
      </c>
      <c r="P91" s="198"/>
      <c r="R91" s="28"/>
    </row>
    <row r="92" spans="2:18" x14ac:dyDescent="0.35">
      <c r="B92" s="27"/>
      <c r="D92" s="182">
        <f t="shared" si="1"/>
        <v>41</v>
      </c>
      <c r="E92" s="182"/>
      <c r="F92" s="20">
        <f>+IFERROR(VLOOKUP(D92, 'Simulador DATOS'!F:R,6,0),"")</f>
        <v>47362</v>
      </c>
      <c r="G92" s="21">
        <f ca="1">+IFERROR(VLOOKUP(D92, 'Simulador DATOS'!F:R,9,0),"")</f>
        <v>4576.4034792884677</v>
      </c>
      <c r="H92" s="197">
        <f ca="1">+IFERROR(VLOOKUP(D92, 'Simulador DATOS'!F:R,10,0),"")</f>
        <v>206.16195696481594</v>
      </c>
      <c r="I92" s="197"/>
      <c r="J92" s="197">
        <f ca="1">+IFERROR(VLOOKUP(D92, 'Simulador DATOS'!F:R,11,0),"")</f>
        <v>44.88</v>
      </c>
      <c r="K92" s="197"/>
      <c r="L92" s="197">
        <f ca="1">+IFERROR(VLOOKUP(D92, 'Simulador DATOS'!F:R,12,0),"")</f>
        <v>3.5480430351840759</v>
      </c>
      <c r="M92" s="197"/>
      <c r="N92" s="130">
        <f>+IFERROR(VLOOKUP(D92, 'Simulador DATOS'!F:S,14,0),"")</f>
        <v>0</v>
      </c>
      <c r="O92" s="198">
        <f ca="1">+IFERROR(VLOOKUP(D92, 'Simulador DATOS'!F:T,15,0),"")</f>
        <v>254.59</v>
      </c>
      <c r="P92" s="198"/>
      <c r="R92" s="28"/>
    </row>
    <row r="93" spans="2:18" x14ac:dyDescent="0.35">
      <c r="B93" s="27"/>
      <c r="D93" s="182">
        <f t="shared" si="1"/>
        <v>42</v>
      </c>
      <c r="E93" s="182"/>
      <c r="F93" s="20">
        <f>+IFERROR(VLOOKUP(D93, 'Simulador DATOS'!F:R,6,0),"")</f>
        <v>47392</v>
      </c>
      <c r="G93" s="21">
        <f ca="1">+IFERROR(VLOOKUP(D93, 'Simulador DATOS'!F:R,9,0),"")</f>
        <v>4370.2415223236521</v>
      </c>
      <c r="H93" s="197">
        <f ca="1">+IFERROR(VLOOKUP(D93, 'Simulador DATOS'!F:R,10,0),"")</f>
        <v>209.84113042156122</v>
      </c>
      <c r="I93" s="197"/>
      <c r="J93" s="197">
        <f ca="1">+IFERROR(VLOOKUP(D93, 'Simulador DATOS'!F:R,11,0),"")</f>
        <v>41.47</v>
      </c>
      <c r="K93" s="197"/>
      <c r="L93" s="197">
        <f ca="1">+IFERROR(VLOOKUP(D93, 'Simulador DATOS'!F:R,12,0),"")</f>
        <v>3.2788695784387807</v>
      </c>
      <c r="M93" s="197"/>
      <c r="N93" s="130">
        <f>+IFERROR(VLOOKUP(D93, 'Simulador DATOS'!F:S,14,0),"")</f>
        <v>0</v>
      </c>
      <c r="O93" s="198">
        <f ca="1">+IFERROR(VLOOKUP(D93, 'Simulador DATOS'!F:T,15,0),"")</f>
        <v>254.59</v>
      </c>
      <c r="P93" s="198"/>
      <c r="R93" s="28"/>
    </row>
    <row r="94" spans="2:18" x14ac:dyDescent="0.35">
      <c r="B94" s="27"/>
      <c r="D94" s="182">
        <f t="shared" si="1"/>
        <v>43</v>
      </c>
      <c r="E94" s="182"/>
      <c r="F94" s="20">
        <f>+IFERROR(VLOOKUP(D94, 'Simulador DATOS'!F:R,6,0),"")</f>
        <v>47423</v>
      </c>
      <c r="G94" s="21">
        <f ca="1">+IFERROR(VLOOKUP(D94, 'Simulador DATOS'!F:R,9,0),"")</f>
        <v>4160.4003919020906</v>
      </c>
      <c r="H94" s="197">
        <f ca="1">+IFERROR(VLOOKUP(D94, 'Simulador DATOS'!F:R,10,0),"")</f>
        <v>210.56448028766025</v>
      </c>
      <c r="I94" s="197"/>
      <c r="J94" s="197">
        <f ca="1">+IFERROR(VLOOKUP(D94, 'Simulador DATOS'!F:R,11,0),"")</f>
        <v>40.799999999999997</v>
      </c>
      <c r="K94" s="197"/>
      <c r="L94" s="197">
        <f ca="1">+IFERROR(VLOOKUP(D94, 'Simulador DATOS'!F:R,12,0),"")</f>
        <v>3.2255197123397812</v>
      </c>
      <c r="M94" s="197"/>
      <c r="N94" s="130">
        <f>+IFERROR(VLOOKUP(D94, 'Simulador DATOS'!F:S,14,0),"")</f>
        <v>0</v>
      </c>
      <c r="O94" s="198">
        <f ca="1">+IFERROR(VLOOKUP(D94, 'Simulador DATOS'!F:T,15,0),"")</f>
        <v>254.59</v>
      </c>
      <c r="P94" s="198"/>
      <c r="R94" s="28"/>
    </row>
    <row r="95" spans="2:18" x14ac:dyDescent="0.35">
      <c r="B95" s="27"/>
      <c r="D95" s="182">
        <f t="shared" si="1"/>
        <v>44</v>
      </c>
      <c r="E95" s="182"/>
      <c r="F95" s="20">
        <f>+IFERROR(VLOOKUP(D95, 'Simulador DATOS'!F:R,6,0),"")</f>
        <v>47453</v>
      </c>
      <c r="G95" s="21">
        <f ca="1">+IFERROR(VLOOKUP(D95, 'Simulador DATOS'!F:R,9,0),"")</f>
        <v>3949.8359116144302</v>
      </c>
      <c r="H95" s="197">
        <f ca="1">+IFERROR(VLOOKUP(D95, 'Simulador DATOS'!F:R,10,0),"")</f>
        <v>214.14654895404237</v>
      </c>
      <c r="I95" s="197"/>
      <c r="J95" s="197">
        <f ca="1">+IFERROR(VLOOKUP(D95, 'Simulador DATOS'!F:R,11,0),"")</f>
        <v>37.479999999999997</v>
      </c>
      <c r="K95" s="197"/>
      <c r="L95" s="197">
        <f ca="1">+IFERROR(VLOOKUP(D95, 'Simulador DATOS'!F:R,12,0),"")</f>
        <v>2.9634510459576462</v>
      </c>
      <c r="M95" s="197"/>
      <c r="N95" s="130">
        <f>+IFERROR(VLOOKUP(D95, 'Simulador DATOS'!F:S,14,0),"")</f>
        <v>0</v>
      </c>
      <c r="O95" s="198">
        <f ca="1">+IFERROR(VLOOKUP(D95, 'Simulador DATOS'!F:T,15,0),"")</f>
        <v>254.59</v>
      </c>
      <c r="P95" s="198"/>
      <c r="R95" s="28"/>
    </row>
    <row r="96" spans="2:18" x14ac:dyDescent="0.35">
      <c r="B96" s="27"/>
      <c r="D96" s="182">
        <f t="shared" si="1"/>
        <v>45</v>
      </c>
      <c r="E96" s="182"/>
      <c r="F96" s="20">
        <f>+IFERROR(VLOOKUP(D96, 'Simulador DATOS'!F:R,6,0),"")</f>
        <v>47484</v>
      </c>
      <c r="G96" s="21">
        <f ca="1">+IFERROR(VLOOKUP(D96, 'Simulador DATOS'!F:R,9,0),"")</f>
        <v>3735.6893626603878</v>
      </c>
      <c r="H96" s="197">
        <f ca="1">+IFERROR(VLOOKUP(D96, 'Simulador DATOS'!F:R,10,0),"")</f>
        <v>215.06375479679969</v>
      </c>
      <c r="I96" s="197"/>
      <c r="J96" s="197">
        <f ca="1">+IFERROR(VLOOKUP(D96, 'Simulador DATOS'!F:R,11,0),"")</f>
        <v>36.630000000000003</v>
      </c>
      <c r="K96" s="197"/>
      <c r="L96" s="197">
        <f ca="1">+IFERROR(VLOOKUP(D96, 'Simulador DATOS'!F:R,12,0),"")</f>
        <v>2.896245203200309</v>
      </c>
      <c r="M96" s="197"/>
      <c r="N96" s="130">
        <f>+IFERROR(VLOOKUP(D96, 'Simulador DATOS'!F:S,14,0),"")</f>
        <v>0</v>
      </c>
      <c r="O96" s="198">
        <f ca="1">+IFERROR(VLOOKUP(D96, 'Simulador DATOS'!F:T,15,0),"")</f>
        <v>254.59</v>
      </c>
      <c r="P96" s="198"/>
      <c r="R96" s="28"/>
    </row>
    <row r="97" spans="2:18" x14ac:dyDescent="0.35">
      <c r="B97" s="27"/>
      <c r="D97" s="182">
        <f t="shared" si="1"/>
        <v>46</v>
      </c>
      <c r="E97" s="182"/>
      <c r="F97" s="20">
        <f>+IFERROR(VLOOKUP(D97, 'Simulador DATOS'!F:R,6,0),"")</f>
        <v>47515</v>
      </c>
      <c r="G97" s="21">
        <f ca="1">+IFERROR(VLOOKUP(D97, 'Simulador DATOS'!F:R,9,0),"")</f>
        <v>3520.6256078635879</v>
      </c>
      <c r="H97" s="197">
        <f ca="1">+IFERROR(VLOOKUP(D97, 'Simulador DATOS'!F:R,10,0),"")</f>
        <v>217.33049172477834</v>
      </c>
      <c r="I97" s="197"/>
      <c r="J97" s="197">
        <f ca="1">+IFERROR(VLOOKUP(D97, 'Simulador DATOS'!F:R,11,0),"")</f>
        <v>34.53</v>
      </c>
      <c r="K97" s="197"/>
      <c r="L97" s="197">
        <f ca="1">+IFERROR(VLOOKUP(D97, 'Simulador DATOS'!F:R,12,0),"")</f>
        <v>2.7295082752216682</v>
      </c>
      <c r="M97" s="197"/>
      <c r="N97" s="130">
        <f>+IFERROR(VLOOKUP(D97, 'Simulador DATOS'!F:S,14,0),"")</f>
        <v>0</v>
      </c>
      <c r="O97" s="198">
        <f ca="1">+IFERROR(VLOOKUP(D97, 'Simulador DATOS'!F:T,15,0),"")</f>
        <v>254.59</v>
      </c>
      <c r="P97" s="198"/>
      <c r="R97" s="28"/>
    </row>
    <row r="98" spans="2:18" x14ac:dyDescent="0.35">
      <c r="B98" s="27"/>
      <c r="D98" s="182">
        <f t="shared" si="1"/>
        <v>47</v>
      </c>
      <c r="E98" s="182"/>
      <c r="F98" s="20">
        <f>+IFERROR(VLOOKUP(D98, 'Simulador DATOS'!F:R,6,0),"")</f>
        <v>47543</v>
      </c>
      <c r="G98" s="21">
        <f ca="1">+IFERROR(VLOOKUP(D98, 'Simulador DATOS'!F:R,9,0),"")</f>
        <v>3303.2951161388096</v>
      </c>
      <c r="H98" s="197">
        <f ca="1">+IFERROR(VLOOKUP(D98, 'Simulador DATOS'!F:R,10,0),"")</f>
        <v>223.02691284611879</v>
      </c>
      <c r="I98" s="197"/>
      <c r="J98" s="197">
        <f ca="1">+IFERROR(VLOOKUP(D98, 'Simulador DATOS'!F:R,11,0),"")</f>
        <v>29.25</v>
      </c>
      <c r="K98" s="197"/>
      <c r="L98" s="197">
        <f ca="1">+IFERROR(VLOOKUP(D98, 'Simulador DATOS'!F:R,12,0),"")</f>
        <v>2.3130871538812108</v>
      </c>
      <c r="M98" s="197"/>
      <c r="N98" s="130">
        <f>+IFERROR(VLOOKUP(D98, 'Simulador DATOS'!F:S,14,0),"")</f>
        <v>0</v>
      </c>
      <c r="O98" s="198">
        <f ca="1">+IFERROR(VLOOKUP(D98, 'Simulador DATOS'!F:T,15,0),"")</f>
        <v>254.59</v>
      </c>
      <c r="P98" s="198"/>
      <c r="R98" s="28"/>
    </row>
    <row r="99" spans="2:18" x14ac:dyDescent="0.35">
      <c r="B99" s="27"/>
      <c r="D99" s="182">
        <f t="shared" si="1"/>
        <v>48</v>
      </c>
      <c r="E99" s="182"/>
      <c r="F99" s="20">
        <f>+IFERROR(VLOOKUP(D99, 'Simulador DATOS'!F:R,6,0),"")</f>
        <v>47574</v>
      </c>
      <c r="G99" s="21">
        <f ca="1">+IFERROR(VLOOKUP(D99, 'Simulador DATOS'!F:R,9,0),"")</f>
        <v>3080.2682032926909</v>
      </c>
      <c r="H99" s="197">
        <f ca="1">+IFERROR(VLOOKUP(D99, 'Simulador DATOS'!F:R,10,0),"")</f>
        <v>221.99189672312485</v>
      </c>
      <c r="I99" s="197"/>
      <c r="J99" s="197">
        <f ca="1">+IFERROR(VLOOKUP(D99, 'Simulador DATOS'!F:R,11,0),"")</f>
        <v>30.21</v>
      </c>
      <c r="K99" s="197"/>
      <c r="L99" s="197">
        <f ca="1">+IFERROR(VLOOKUP(D99, 'Simulador DATOS'!F:R,12,0),"")</f>
        <v>2.3881032768751438</v>
      </c>
      <c r="M99" s="197"/>
      <c r="N99" s="130">
        <f>+IFERROR(VLOOKUP(D99, 'Simulador DATOS'!F:S,14,0),"")</f>
        <v>0</v>
      </c>
      <c r="O99" s="198">
        <f ca="1">+IFERROR(VLOOKUP(D99, 'Simulador DATOS'!F:T,15,0),"")</f>
        <v>254.59</v>
      </c>
      <c r="P99" s="198"/>
      <c r="R99" s="28"/>
    </row>
    <row r="100" spans="2:18" x14ac:dyDescent="0.35">
      <c r="B100" s="27"/>
      <c r="D100" s="182">
        <f t="shared" si="1"/>
        <v>49</v>
      </c>
      <c r="E100" s="182"/>
      <c r="F100" s="20">
        <f>+IFERROR(VLOOKUP(D100, 'Simulador DATOS'!F:R,6,0),"")</f>
        <v>47604</v>
      </c>
      <c r="G100" s="21">
        <f ca="1">+IFERROR(VLOOKUP(D100, 'Simulador DATOS'!F:R,9,0),"")</f>
        <v>2858.2763065695663</v>
      </c>
      <c r="H100" s="197">
        <f ca="1">+IFERROR(VLOOKUP(D100, 'Simulador DATOS'!F:R,10,0),"")</f>
        <v>225.32551549485066</v>
      </c>
      <c r="I100" s="197"/>
      <c r="J100" s="197">
        <f ca="1">+IFERROR(VLOOKUP(D100, 'Simulador DATOS'!F:R,11,0),"")</f>
        <v>27.12</v>
      </c>
      <c r="K100" s="197"/>
      <c r="L100" s="197">
        <f ca="1">+IFERROR(VLOOKUP(D100, 'Simulador DATOS'!F:R,12,0),"")</f>
        <v>2.1444845051493338</v>
      </c>
      <c r="M100" s="197"/>
      <c r="N100" s="130">
        <f>+IFERROR(VLOOKUP(D100, 'Simulador DATOS'!F:S,14,0),"")</f>
        <v>0</v>
      </c>
      <c r="O100" s="198">
        <f ca="1">+IFERROR(VLOOKUP(D100, 'Simulador DATOS'!F:T,15,0),"")</f>
        <v>254.59</v>
      </c>
      <c r="P100" s="198"/>
      <c r="R100" s="28"/>
    </row>
    <row r="101" spans="2:18" x14ac:dyDescent="0.35">
      <c r="B101" s="27"/>
      <c r="D101" s="182">
        <f t="shared" si="1"/>
        <v>50</v>
      </c>
      <c r="E101" s="182"/>
      <c r="F101" s="20">
        <f>+IFERROR(VLOOKUP(D101, 'Simulador DATOS'!F:R,6,0),"")</f>
        <v>47635</v>
      </c>
      <c r="G101" s="21">
        <f ca="1">+IFERROR(VLOOKUP(D101, 'Simulador DATOS'!F:R,9,0),"")</f>
        <v>2632.9507910747157</v>
      </c>
      <c r="H101" s="197">
        <f ca="1">+IFERROR(VLOOKUP(D101, 'Simulador DATOS'!F:R,10,0),"")</f>
        <v>226.72869775063901</v>
      </c>
      <c r="I101" s="197"/>
      <c r="J101" s="197">
        <f ca="1">+IFERROR(VLOOKUP(D101, 'Simulador DATOS'!F:R,11,0),"")</f>
        <v>25.82</v>
      </c>
      <c r="K101" s="197"/>
      <c r="L101" s="197">
        <f ca="1">+IFERROR(VLOOKUP(D101, 'Simulador DATOS'!F:R,12,0),"")</f>
        <v>2.0413022493609985</v>
      </c>
      <c r="M101" s="197"/>
      <c r="N101" s="130">
        <f>+IFERROR(VLOOKUP(D101, 'Simulador DATOS'!F:S,14,0),"")</f>
        <v>0</v>
      </c>
      <c r="O101" s="198">
        <f ca="1">+IFERROR(VLOOKUP(D101, 'Simulador DATOS'!F:T,15,0),"")</f>
        <v>254.59</v>
      </c>
      <c r="P101" s="198"/>
      <c r="R101" s="28"/>
    </row>
    <row r="102" spans="2:18" x14ac:dyDescent="0.35">
      <c r="B102" s="27"/>
      <c r="D102" s="182">
        <f t="shared" si="1"/>
        <v>51</v>
      </c>
      <c r="E102" s="182"/>
      <c r="F102" s="20">
        <f>+IFERROR(VLOOKUP(D102, 'Simulador DATOS'!F:R,6,0),"")</f>
        <v>47665</v>
      </c>
      <c r="G102" s="21">
        <f ca="1">+IFERROR(VLOOKUP(D102, 'Simulador DATOS'!F:R,9,0),"")</f>
        <v>2406.2220933240765</v>
      </c>
      <c r="H102" s="197">
        <f ca="1">+IFERROR(VLOOKUP(D102, 'Simulador DATOS'!F:R,10,0),"")</f>
        <v>229.95467908570583</v>
      </c>
      <c r="I102" s="197"/>
      <c r="J102" s="197">
        <f ca="1">+IFERROR(VLOOKUP(D102, 'Simulador DATOS'!F:R,11,0),"")</f>
        <v>22.83</v>
      </c>
      <c r="K102" s="197"/>
      <c r="L102" s="197">
        <f ca="1">+IFERROR(VLOOKUP(D102, 'Simulador DATOS'!F:R,12,0),"")</f>
        <v>1.8053209142941502</v>
      </c>
      <c r="M102" s="197"/>
      <c r="N102" s="130">
        <f>+IFERROR(VLOOKUP(D102, 'Simulador DATOS'!F:S,14,0),"")</f>
        <v>0</v>
      </c>
      <c r="O102" s="198">
        <f ca="1">+IFERROR(VLOOKUP(D102, 'Simulador DATOS'!F:T,15,0),"")</f>
        <v>254.58999999999997</v>
      </c>
      <c r="P102" s="198"/>
      <c r="R102" s="28"/>
    </row>
    <row r="103" spans="2:18" x14ac:dyDescent="0.35">
      <c r="B103" s="27"/>
      <c r="D103" s="182">
        <f t="shared" si="1"/>
        <v>52</v>
      </c>
      <c r="E103" s="182"/>
      <c r="F103" s="20">
        <f>+IFERROR(VLOOKUP(D103, 'Simulador DATOS'!F:R,6,0),"")</f>
        <v>47696</v>
      </c>
      <c r="G103" s="21">
        <f ca="1">+IFERROR(VLOOKUP(D103, 'Simulador DATOS'!F:R,9,0),"")</f>
        <v>2176.2674142383707</v>
      </c>
      <c r="H103" s="197">
        <f ca="1">+IFERROR(VLOOKUP(D103, 'Simulador DATOS'!F:R,10,0),"")</f>
        <v>231.56276012337378</v>
      </c>
      <c r="I103" s="197"/>
      <c r="J103" s="197">
        <f ca="1">+IFERROR(VLOOKUP(D103, 'Simulador DATOS'!F:R,11,0),"")</f>
        <v>21.34</v>
      </c>
      <c r="K103" s="197"/>
      <c r="L103" s="197">
        <f ca="1">+IFERROR(VLOOKUP(D103, 'Simulador DATOS'!F:R,12,0),"")</f>
        <v>1.6872398766262269</v>
      </c>
      <c r="M103" s="197"/>
      <c r="N103" s="130">
        <f>+IFERROR(VLOOKUP(D103, 'Simulador DATOS'!F:S,14,0),"")</f>
        <v>0</v>
      </c>
      <c r="O103" s="198">
        <f ca="1">+IFERROR(VLOOKUP(D103, 'Simulador DATOS'!F:T,15,0),"")</f>
        <v>254.59</v>
      </c>
      <c r="P103" s="198"/>
      <c r="R103" s="28"/>
    </row>
    <row r="104" spans="2:18" x14ac:dyDescent="0.35">
      <c r="B104" s="27"/>
      <c r="D104" s="182">
        <f t="shared" si="1"/>
        <v>53</v>
      </c>
      <c r="E104" s="182"/>
      <c r="F104" s="20">
        <f>+IFERROR(VLOOKUP(D104, 'Simulador DATOS'!F:R,6,0),"")</f>
        <v>47727</v>
      </c>
      <c r="G104" s="21">
        <f ca="1">+IFERROR(VLOOKUP(D104, 'Simulador DATOS'!F:R,9,0),"")</f>
        <v>1944.7046541149971</v>
      </c>
      <c r="H104" s="197">
        <f ca="1">+IFERROR(VLOOKUP(D104, 'Simulador DATOS'!F:R,10,0),"")</f>
        <v>234.01228857666294</v>
      </c>
      <c r="I104" s="197"/>
      <c r="J104" s="197">
        <f ca="1">+IFERROR(VLOOKUP(D104, 'Simulador DATOS'!F:R,11,0),"")</f>
        <v>19.07</v>
      </c>
      <c r="K104" s="197"/>
      <c r="L104" s="197">
        <f ca="1">+IFERROR(VLOOKUP(D104, 'Simulador DATOS'!F:R,12,0),"")</f>
        <v>1.5077114233370783</v>
      </c>
      <c r="M104" s="197"/>
      <c r="N104" s="130">
        <f>+IFERROR(VLOOKUP(D104, 'Simulador DATOS'!F:S,14,0),"")</f>
        <v>0</v>
      </c>
      <c r="O104" s="198">
        <f ca="1">+IFERROR(VLOOKUP(D104, 'Simulador DATOS'!F:T,15,0),"")</f>
        <v>254.59</v>
      </c>
      <c r="P104" s="198"/>
      <c r="R104" s="28"/>
    </row>
    <row r="105" spans="2:18" x14ac:dyDescent="0.35">
      <c r="B105" s="27"/>
      <c r="D105" s="182">
        <f t="shared" si="1"/>
        <v>54</v>
      </c>
      <c r="E105" s="182"/>
      <c r="F105" s="20">
        <f>+IFERROR(VLOOKUP(D105, 'Simulador DATOS'!F:R,6,0),"")</f>
        <v>47757</v>
      </c>
      <c r="G105" s="21">
        <f ca="1">+IFERROR(VLOOKUP(D105, 'Simulador DATOS'!F:R,9,0),"")</f>
        <v>1710.6923655383341</v>
      </c>
      <c r="H105" s="197">
        <f ca="1">+IFERROR(VLOOKUP(D105, 'Simulador DATOS'!F:R,10,0),"")</f>
        <v>237.07651552281973</v>
      </c>
      <c r="I105" s="197"/>
      <c r="J105" s="197">
        <f ca="1">+IFERROR(VLOOKUP(D105, 'Simulador DATOS'!F:R,11,0),"")</f>
        <v>16.23</v>
      </c>
      <c r="K105" s="197"/>
      <c r="L105" s="197">
        <f ca="1">+IFERROR(VLOOKUP(D105, 'Simulador DATOS'!F:R,12,0),"")</f>
        <v>1.2834844771802787</v>
      </c>
      <c r="M105" s="197"/>
      <c r="N105" s="130">
        <f>+IFERROR(VLOOKUP(D105, 'Simulador DATOS'!F:S,14,0),"")</f>
        <v>0</v>
      </c>
      <c r="O105" s="198">
        <f ca="1">+IFERROR(VLOOKUP(D105, 'Simulador DATOS'!F:T,15,0),"")</f>
        <v>254.59</v>
      </c>
      <c r="P105" s="198"/>
      <c r="R105" s="28"/>
    </row>
    <row r="106" spans="2:18" x14ac:dyDescent="0.35">
      <c r="B106" s="27"/>
      <c r="D106" s="182">
        <f t="shared" si="1"/>
        <v>55</v>
      </c>
      <c r="E106" s="182"/>
      <c r="F106" s="20">
        <f>+IFERROR(VLOOKUP(D106, 'Simulador DATOS'!F:R,6,0),"")</f>
        <v>47788</v>
      </c>
      <c r="G106" s="21">
        <f ca="1">+IFERROR(VLOOKUP(D106, 'Simulador DATOS'!F:R,9,0),"")</f>
        <v>1473.6158500155143</v>
      </c>
      <c r="H106" s="197">
        <f ca="1">+IFERROR(VLOOKUP(D106, 'Simulador DATOS'!F:R,10,0),"")</f>
        <v>238.99751934311587</v>
      </c>
      <c r="I106" s="197"/>
      <c r="J106" s="197">
        <f ca="1">+IFERROR(VLOOKUP(D106, 'Simulador DATOS'!F:R,11,0),"")</f>
        <v>14.45</v>
      </c>
      <c r="K106" s="197"/>
      <c r="L106" s="197">
        <f ca="1">+IFERROR(VLOOKUP(D106, 'Simulador DATOS'!F:R,12,0),"")</f>
        <v>1.1424806568841521</v>
      </c>
      <c r="M106" s="197"/>
      <c r="N106" s="130">
        <f>+IFERROR(VLOOKUP(D106, 'Simulador DATOS'!F:S,14,0),"")</f>
        <v>0</v>
      </c>
      <c r="O106" s="198">
        <f ca="1">+IFERROR(VLOOKUP(D106, 'Simulador DATOS'!F:T,15,0),"")</f>
        <v>254.59</v>
      </c>
      <c r="P106" s="198"/>
      <c r="R106" s="28"/>
    </row>
    <row r="107" spans="2:18" x14ac:dyDescent="0.35">
      <c r="B107" s="27"/>
      <c r="D107" s="182">
        <f t="shared" si="1"/>
        <v>56</v>
      </c>
      <c r="E107" s="182"/>
      <c r="F107" s="20">
        <f>+IFERROR(VLOOKUP(D107, 'Simulador DATOS'!F:R,6,0),"")</f>
        <v>47818</v>
      </c>
      <c r="G107" s="21">
        <f ca="1">+IFERROR(VLOOKUP(D107, 'Simulador DATOS'!F:R,9,0),"")</f>
        <v>1234.6183306723983</v>
      </c>
      <c r="H107" s="197">
        <f ca="1">+IFERROR(VLOOKUP(D107, 'Simulador DATOS'!F:R,10,0),"")</f>
        <v>241.94370051180326</v>
      </c>
      <c r="I107" s="197"/>
      <c r="J107" s="197">
        <f ca="1">+IFERROR(VLOOKUP(D107, 'Simulador DATOS'!F:R,11,0),"")</f>
        <v>11.72</v>
      </c>
      <c r="K107" s="197"/>
      <c r="L107" s="197">
        <f ca="1">+IFERROR(VLOOKUP(D107, 'Simulador DATOS'!F:R,12,0),"")</f>
        <v>0.92629948819675301</v>
      </c>
      <c r="M107" s="197"/>
      <c r="N107" s="130">
        <f>+IFERROR(VLOOKUP(D107, 'Simulador DATOS'!F:S,14,0),"")</f>
        <v>0</v>
      </c>
      <c r="O107" s="198">
        <f ca="1">+IFERROR(VLOOKUP(D107, 'Simulador DATOS'!F:T,15,0),"")</f>
        <v>254.59</v>
      </c>
      <c r="P107" s="198"/>
      <c r="R107" s="28"/>
    </row>
    <row r="108" spans="2:18" x14ac:dyDescent="0.35">
      <c r="B108" s="27"/>
      <c r="D108" s="182">
        <f t="shared" si="1"/>
        <v>57</v>
      </c>
      <c r="E108" s="182"/>
      <c r="F108" s="20">
        <f>+IFERROR(VLOOKUP(D108, 'Simulador DATOS'!F:R,6,0),"")</f>
        <v>47849</v>
      </c>
      <c r="G108" s="21">
        <f ca="1">+IFERROR(VLOOKUP(D108, 'Simulador DATOS'!F:R,9,0),"")</f>
        <v>992.67463016059503</v>
      </c>
      <c r="H108" s="197">
        <f ca="1">+IFERROR(VLOOKUP(D108, 'Simulador DATOS'!F:R,10,0),"")</f>
        <v>244.09038859582967</v>
      </c>
      <c r="I108" s="197"/>
      <c r="J108" s="197">
        <f ca="1">+IFERROR(VLOOKUP(D108, 'Simulador DATOS'!F:R,11,0),"")</f>
        <v>9.73</v>
      </c>
      <c r="K108" s="197"/>
      <c r="L108" s="197">
        <f ca="1">+IFERROR(VLOOKUP(D108, 'Simulador DATOS'!F:R,12,0),"")</f>
        <v>0.76961140417034013</v>
      </c>
      <c r="M108" s="197"/>
      <c r="N108" s="130">
        <f>+IFERROR(VLOOKUP(D108, 'Simulador DATOS'!F:S,14,0),"")</f>
        <v>0</v>
      </c>
      <c r="O108" s="198">
        <f ca="1">+IFERROR(VLOOKUP(D108, 'Simulador DATOS'!F:T,15,0),"")</f>
        <v>254.59</v>
      </c>
      <c r="P108" s="198"/>
      <c r="R108" s="28"/>
    </row>
    <row r="109" spans="2:18" x14ac:dyDescent="0.35">
      <c r="B109" s="27"/>
      <c r="D109" s="182">
        <f t="shared" si="1"/>
        <v>58</v>
      </c>
      <c r="E109" s="182"/>
      <c r="F109" s="20">
        <f>+IFERROR(VLOOKUP(D109, 'Simulador DATOS'!F:R,6,0),"")</f>
        <v>47880</v>
      </c>
      <c r="G109" s="21">
        <f ca="1">+IFERROR(VLOOKUP(D109, 'Simulador DATOS'!F:R,9,0),"")</f>
        <v>748.58424156476531</v>
      </c>
      <c r="H109" s="197">
        <f ca="1">+IFERROR(VLOOKUP(D109, 'Simulador DATOS'!F:R,10,0),"")</f>
        <v>246.66962960290701</v>
      </c>
      <c r="I109" s="197"/>
      <c r="J109" s="197">
        <f ca="1">+IFERROR(VLOOKUP(D109, 'Simulador DATOS'!F:R,11,0),"")</f>
        <v>7.34</v>
      </c>
      <c r="K109" s="197"/>
      <c r="L109" s="197">
        <f ca="1">+IFERROR(VLOOKUP(D109, 'Simulador DATOS'!F:R,12,0),"")</f>
        <v>0.58037039709299665</v>
      </c>
      <c r="M109" s="197"/>
      <c r="N109" s="130">
        <f>+IFERROR(VLOOKUP(D109, 'Simulador DATOS'!F:S,14,0),"")</f>
        <v>0</v>
      </c>
      <c r="O109" s="198">
        <f ca="1">+IFERROR(VLOOKUP(D109, 'Simulador DATOS'!F:T,15,0),"")</f>
        <v>254.59</v>
      </c>
      <c r="P109" s="198"/>
      <c r="R109" s="28"/>
    </row>
    <row r="110" spans="2:18" x14ac:dyDescent="0.35">
      <c r="B110" s="27"/>
      <c r="D110" s="182">
        <f t="shared" si="1"/>
        <v>59</v>
      </c>
      <c r="E110" s="182"/>
      <c r="F110" s="20">
        <f>+IFERROR(VLOOKUP(D110, 'Simulador DATOS'!F:R,6,0),"")</f>
        <v>47908</v>
      </c>
      <c r="G110" s="21">
        <f ca="1">+IFERROR(VLOOKUP(D110, 'Simulador DATOS'!F:R,9,0),"")</f>
        <v>501.91461196185833</v>
      </c>
      <c r="H110" s="197">
        <f ca="1">+IFERROR(VLOOKUP(D110, 'Simulador DATOS'!F:R,10,0),"")</f>
        <v>249.798541168604</v>
      </c>
      <c r="I110" s="197"/>
      <c r="J110" s="197">
        <f ca="1">+IFERROR(VLOOKUP(D110, 'Simulador DATOS'!F:R,11,0),"")</f>
        <v>4.4400000000000004</v>
      </c>
      <c r="K110" s="197"/>
      <c r="L110" s="197">
        <f ca="1">+IFERROR(VLOOKUP(D110, 'Simulador DATOS'!F:R,12,0),"")</f>
        <v>0.3514588313959961</v>
      </c>
      <c r="M110" s="197"/>
      <c r="N110" s="130">
        <f>+IFERROR(VLOOKUP(D110, 'Simulador DATOS'!F:S,14,0),"")</f>
        <v>0</v>
      </c>
      <c r="O110" s="198">
        <f ca="1">+IFERROR(VLOOKUP(D110, 'Simulador DATOS'!F:T,15,0),"")</f>
        <v>254.59</v>
      </c>
      <c r="P110" s="198"/>
      <c r="R110" s="28"/>
    </row>
    <row r="111" spans="2:18" x14ac:dyDescent="0.35">
      <c r="B111" s="27"/>
      <c r="D111" s="182">
        <f t="shared" si="1"/>
        <v>60</v>
      </c>
      <c r="E111" s="182"/>
      <c r="F111" s="20">
        <f>+IFERROR(VLOOKUP(D111, 'Simulador DATOS'!F:R,6,0),"")</f>
        <v>47939</v>
      </c>
      <c r="G111" s="21">
        <f ca="1">+IFERROR(VLOOKUP(D111, 'Simulador DATOS'!F:R,9,0),"")</f>
        <v>252.11607079325432</v>
      </c>
      <c r="H111" s="197">
        <f ca="1">+IFERROR(VLOOKUP(D111, 'Simulador DATOS'!F:R,10,0),"")</f>
        <v>252.11607079325432</v>
      </c>
      <c r="I111" s="197"/>
      <c r="J111" s="197">
        <f ca="1">+IFERROR(VLOOKUP(D111, 'Simulador DATOS'!F:R,11,0),"")</f>
        <v>2.4700000000000002</v>
      </c>
      <c r="K111" s="197"/>
      <c r="L111" s="197">
        <f ca="1">+IFERROR(VLOOKUP(D111, 'Simulador DATOS'!F:R,12,0),"")</f>
        <v>0.19546324380800878</v>
      </c>
      <c r="M111" s="197"/>
      <c r="N111" s="130">
        <f>+IFERROR(VLOOKUP(D111, 'Simulador DATOS'!F:S,14,0),"")</f>
        <v>0</v>
      </c>
      <c r="O111" s="198">
        <f ca="1">+IFERROR(VLOOKUP(D111, 'Simulador DATOS'!F:T,15,0),"")</f>
        <v>254.78153403706233</v>
      </c>
      <c r="P111" s="198"/>
      <c r="R111" s="28"/>
    </row>
    <row r="112" spans="2:18" x14ac:dyDescent="0.35">
      <c r="B112" s="27"/>
      <c r="D112" s="182" t="str">
        <f>+IF(D111="", "", IF((D111+1)&gt;$G$15,"", D111+1))</f>
        <v/>
      </c>
      <c r="E112" s="182"/>
      <c r="F112" s="20" t="str">
        <f>+IFERROR(VLOOKUP(D112, 'Simulador DATOS'!F:R,6,0),"")</f>
        <v/>
      </c>
      <c r="G112" s="21" t="str">
        <f>+IFERROR(VLOOKUP(D112, 'Simulador DATOS'!F:R,9,0),"")</f>
        <v/>
      </c>
      <c r="H112" s="197" t="str">
        <f>+IFERROR(VLOOKUP(D112, 'Simulador DATOS'!F:R,10,0),"")</f>
        <v/>
      </c>
      <c r="I112" s="197"/>
      <c r="J112" s="197" t="str">
        <f>+IFERROR(VLOOKUP(D112, 'Simulador DATOS'!F:R,11,0),"")</f>
        <v/>
      </c>
      <c r="K112" s="197"/>
      <c r="L112" s="197" t="str">
        <f>+IFERROR(VLOOKUP(D112, 'Simulador DATOS'!F:R,12,0),"")</f>
        <v/>
      </c>
      <c r="M112" s="197"/>
      <c r="N112" s="130" t="str">
        <f>+IFERROR(VLOOKUP(D112, 'Simulador DATOS'!F:S,14,0),"")</f>
        <v/>
      </c>
      <c r="O112" s="198" t="str">
        <f>+IFERROR(VLOOKUP(D112, 'Simulador DATOS'!F:T,15,0),"")</f>
        <v/>
      </c>
      <c r="P112" s="198"/>
      <c r="R112" s="28"/>
    </row>
    <row r="113" spans="2:18" x14ac:dyDescent="0.35">
      <c r="B113" s="27"/>
      <c r="D113" s="182" t="str">
        <f>+IF(D112="", "", IF((D112+1)&gt;$G$15,"", D112+1))</f>
        <v/>
      </c>
      <c r="E113" s="182"/>
      <c r="F113" s="20" t="str">
        <f>+IFERROR(VLOOKUP(D113, 'Simulador DATOS'!F:R,6,0),"")</f>
        <v/>
      </c>
      <c r="G113" s="21" t="str">
        <f>+IFERROR(VLOOKUP(D113, 'Simulador DATOS'!F:R,9,0),"")</f>
        <v/>
      </c>
      <c r="H113" s="197" t="str">
        <f>+IFERROR(VLOOKUP(D113, 'Simulador DATOS'!F:R,10,0),"")</f>
        <v/>
      </c>
      <c r="I113" s="197"/>
      <c r="J113" s="197" t="str">
        <f>+IFERROR(VLOOKUP(D113, 'Simulador DATOS'!F:R,11,0),"")</f>
        <v/>
      </c>
      <c r="K113" s="197"/>
      <c r="L113" s="197" t="str">
        <f>+IFERROR(VLOOKUP(D113, 'Simulador DATOS'!F:R,12,0),"")</f>
        <v/>
      </c>
      <c r="M113" s="197"/>
      <c r="N113" s="130" t="str">
        <f>+IFERROR(VLOOKUP(D113, 'Simulador DATOS'!F:S,14,0),"")</f>
        <v/>
      </c>
      <c r="O113" s="198" t="str">
        <f>+IFERROR(VLOOKUP(D113, 'Simulador DATOS'!F:T,15,0),"")</f>
        <v/>
      </c>
      <c r="P113" s="198"/>
      <c r="R113" s="28"/>
    </row>
    <row r="114" spans="2:18" ht="15.75" customHeight="1" x14ac:dyDescent="0.35">
      <c r="B114" s="27"/>
      <c r="D114" s="200" t="s">
        <v>138</v>
      </c>
      <c r="E114" s="201"/>
      <c r="F114" s="201"/>
      <c r="G114" s="202"/>
      <c r="H114" s="181">
        <f t="shared" ref="H114" ca="1" si="2">+SUM(H51:H112)</f>
        <v>11323.055105941028</v>
      </c>
      <c r="I114" s="181"/>
      <c r="J114" s="181">
        <f ca="1">+SUM(J51:J112)</f>
        <v>3662.93</v>
      </c>
      <c r="K114" s="181"/>
      <c r="L114" s="181">
        <f t="shared" ref="L114" ca="1" si="3">+SUM(L51:L112)</f>
        <v>289.60642809603553</v>
      </c>
      <c r="M114" s="181"/>
      <c r="N114" s="174">
        <f t="shared" ref="N114" si="4">+SUM(N51:N112)</f>
        <v>0</v>
      </c>
      <c r="O114" s="181">
        <f ca="1">+SUM(O51:O112)</f>
        <v>15275.591534037068</v>
      </c>
      <c r="P114" s="181"/>
      <c r="R114" s="28"/>
    </row>
    <row r="115" spans="2:18" x14ac:dyDescent="0.35">
      <c r="B115" s="29"/>
      <c r="C115" s="30"/>
      <c r="D115" s="30"/>
      <c r="E115" s="30"/>
      <c r="F115" s="30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30"/>
      <c r="R115" s="31"/>
    </row>
    <row r="116" spans="2:18" x14ac:dyDescent="0.35"/>
    <row r="117" spans="2:18" x14ac:dyDescent="0.35"/>
    <row r="118" spans="2:18" x14ac:dyDescent="0.35"/>
    <row r="119" spans="2:18" x14ac:dyDescent="0.35"/>
    <row r="120" spans="2:18" x14ac:dyDescent="0.35"/>
  </sheetData>
  <sheetProtection algorithmName="SHA-512" hashValue="XtICgtPL/gcaFi28AXb8Wl+cwq3aM//BUBVKt6qBgOynwYa5Tacsm/uyIJKM9xCR0Q0sem/wk6LzwD3kFPuXkA==" saltValue="n/XXAwyI0MotSqOgOoGtPg==" spinCount="100000" sheet="1" objects="1" scenarios="1"/>
  <mergeCells count="345">
    <mergeCell ref="D114:G114"/>
    <mergeCell ref="O72:P72"/>
    <mergeCell ref="O73:P73"/>
    <mergeCell ref="O67:P67"/>
    <mergeCell ref="O68:P68"/>
    <mergeCell ref="L96:M96"/>
    <mergeCell ref="L97:M97"/>
    <mergeCell ref="L98:M98"/>
    <mergeCell ref="L99:M99"/>
    <mergeCell ref="L90:M90"/>
    <mergeCell ref="L91:M91"/>
    <mergeCell ref="L92:M92"/>
    <mergeCell ref="L93:M93"/>
    <mergeCell ref="L94:M94"/>
    <mergeCell ref="L72:M72"/>
    <mergeCell ref="L73:M73"/>
    <mergeCell ref="O94:P94"/>
    <mergeCell ref="O95:P95"/>
    <mergeCell ref="O96:P96"/>
    <mergeCell ref="O97:P97"/>
    <mergeCell ref="O98:P98"/>
    <mergeCell ref="O90:P90"/>
    <mergeCell ref="O91:P91"/>
    <mergeCell ref="O92:P92"/>
    <mergeCell ref="O93:P93"/>
    <mergeCell ref="O86:P86"/>
    <mergeCell ref="O87:P87"/>
    <mergeCell ref="O88:P88"/>
    <mergeCell ref="O81:P81"/>
    <mergeCell ref="O75:P75"/>
    <mergeCell ref="O76:P76"/>
    <mergeCell ref="O77:P77"/>
    <mergeCell ref="O78:P78"/>
    <mergeCell ref="O89:P89"/>
    <mergeCell ref="O113:P113"/>
    <mergeCell ref="O104:P104"/>
    <mergeCell ref="O105:P105"/>
    <mergeCell ref="O106:P106"/>
    <mergeCell ref="O107:P107"/>
    <mergeCell ref="O108:P108"/>
    <mergeCell ref="O99:P99"/>
    <mergeCell ref="O100:P100"/>
    <mergeCell ref="O101:P101"/>
    <mergeCell ref="O102:P102"/>
    <mergeCell ref="O103:P103"/>
    <mergeCell ref="O112:P112"/>
    <mergeCell ref="O111:P111"/>
    <mergeCell ref="O109:P109"/>
    <mergeCell ref="O110:P110"/>
    <mergeCell ref="L74:M74"/>
    <mergeCell ref="L85:M85"/>
    <mergeCell ref="L86:M86"/>
    <mergeCell ref="O82:P82"/>
    <mergeCell ref="O83:P83"/>
    <mergeCell ref="O74:P74"/>
    <mergeCell ref="L112:M112"/>
    <mergeCell ref="L88:M88"/>
    <mergeCell ref="L89:M89"/>
    <mergeCell ref="L80:M80"/>
    <mergeCell ref="L81:M81"/>
    <mergeCell ref="L82:M82"/>
    <mergeCell ref="L83:M83"/>
    <mergeCell ref="L84:M84"/>
    <mergeCell ref="L77:M77"/>
    <mergeCell ref="L78:M78"/>
    <mergeCell ref="L79:M79"/>
    <mergeCell ref="O79:P79"/>
    <mergeCell ref="O80:P80"/>
    <mergeCell ref="L110:M110"/>
    <mergeCell ref="L111:M111"/>
    <mergeCell ref="L95:M95"/>
    <mergeCell ref="O84:P84"/>
    <mergeCell ref="O85:P85"/>
    <mergeCell ref="L113:M113"/>
    <mergeCell ref="O52:P52"/>
    <mergeCell ref="O53:P53"/>
    <mergeCell ref="O54:P54"/>
    <mergeCell ref="O55:P55"/>
    <mergeCell ref="O56:P56"/>
    <mergeCell ref="O57:P57"/>
    <mergeCell ref="O58:P58"/>
    <mergeCell ref="O59:P59"/>
    <mergeCell ref="O60:P60"/>
    <mergeCell ref="O61:P61"/>
    <mergeCell ref="O62:P62"/>
    <mergeCell ref="O63:P63"/>
    <mergeCell ref="L105:M105"/>
    <mergeCell ref="L106:M106"/>
    <mergeCell ref="L107:M107"/>
    <mergeCell ref="L108:M108"/>
    <mergeCell ref="L109:M109"/>
    <mergeCell ref="L100:M100"/>
    <mergeCell ref="L101:M101"/>
    <mergeCell ref="L102:M102"/>
    <mergeCell ref="L103:M103"/>
    <mergeCell ref="L104:M104"/>
    <mergeCell ref="L87:M87"/>
    <mergeCell ref="J103:K103"/>
    <mergeCell ref="J104:K104"/>
    <mergeCell ref="J105:K105"/>
    <mergeCell ref="J96:K96"/>
    <mergeCell ref="J97:K97"/>
    <mergeCell ref="J98:K98"/>
    <mergeCell ref="J99:K99"/>
    <mergeCell ref="J100:K100"/>
    <mergeCell ref="J109:K109"/>
    <mergeCell ref="J112:K112"/>
    <mergeCell ref="J113:K113"/>
    <mergeCell ref="L52:M52"/>
    <mergeCell ref="L53:M53"/>
    <mergeCell ref="L54:M54"/>
    <mergeCell ref="L55:M55"/>
    <mergeCell ref="L56:M56"/>
    <mergeCell ref="L57:M57"/>
    <mergeCell ref="L58:M58"/>
    <mergeCell ref="L59:M59"/>
    <mergeCell ref="L60:M60"/>
    <mergeCell ref="L61:M61"/>
    <mergeCell ref="L62:M62"/>
    <mergeCell ref="L63:M63"/>
    <mergeCell ref="L64:M64"/>
    <mergeCell ref="J106:K106"/>
    <mergeCell ref="J107:K107"/>
    <mergeCell ref="J108:K108"/>
    <mergeCell ref="L75:M75"/>
    <mergeCell ref="L76:M76"/>
    <mergeCell ref="J111:K111"/>
    <mergeCell ref="J110:K110"/>
    <mergeCell ref="J101:K101"/>
    <mergeCell ref="J102:K102"/>
    <mergeCell ref="J72:K72"/>
    <mergeCell ref="J73:K73"/>
    <mergeCell ref="J74:K74"/>
    <mergeCell ref="J75:K75"/>
    <mergeCell ref="J95:K95"/>
    <mergeCell ref="J86:K86"/>
    <mergeCell ref="J87:K87"/>
    <mergeCell ref="J88:K88"/>
    <mergeCell ref="J89:K89"/>
    <mergeCell ref="J90:K90"/>
    <mergeCell ref="J81:K81"/>
    <mergeCell ref="J82:K82"/>
    <mergeCell ref="J83:K83"/>
    <mergeCell ref="J84:K84"/>
    <mergeCell ref="J85:K85"/>
    <mergeCell ref="J91:K91"/>
    <mergeCell ref="J92:K92"/>
    <mergeCell ref="J93:K93"/>
    <mergeCell ref="J94:K94"/>
    <mergeCell ref="H112:I112"/>
    <mergeCell ref="H113:I113"/>
    <mergeCell ref="J52:K52"/>
    <mergeCell ref="J53:K53"/>
    <mergeCell ref="J54:K54"/>
    <mergeCell ref="J55:K55"/>
    <mergeCell ref="J56:K56"/>
    <mergeCell ref="J57:K57"/>
    <mergeCell ref="J58:K58"/>
    <mergeCell ref="J59:K59"/>
    <mergeCell ref="J60:K60"/>
    <mergeCell ref="J61:K61"/>
    <mergeCell ref="J62:K62"/>
    <mergeCell ref="J63:K63"/>
    <mergeCell ref="J64:K64"/>
    <mergeCell ref="J65:K65"/>
    <mergeCell ref="H107:I107"/>
    <mergeCell ref="H108:I108"/>
    <mergeCell ref="H109:I109"/>
    <mergeCell ref="J76:K76"/>
    <mergeCell ref="J77:K77"/>
    <mergeCell ref="J78:K78"/>
    <mergeCell ref="J79:K79"/>
    <mergeCell ref="J80:K80"/>
    <mergeCell ref="H110:I110"/>
    <mergeCell ref="H111:I111"/>
    <mergeCell ref="H102:I102"/>
    <mergeCell ref="H103:I103"/>
    <mergeCell ref="H104:I104"/>
    <mergeCell ref="H105:I105"/>
    <mergeCell ref="H106:I106"/>
    <mergeCell ref="H97:I97"/>
    <mergeCell ref="H98:I98"/>
    <mergeCell ref="H99:I99"/>
    <mergeCell ref="H100:I100"/>
    <mergeCell ref="H101:I101"/>
    <mergeCell ref="H92:I92"/>
    <mergeCell ref="H93:I93"/>
    <mergeCell ref="H94:I94"/>
    <mergeCell ref="H95:I95"/>
    <mergeCell ref="H96:I96"/>
    <mergeCell ref="H87:I87"/>
    <mergeCell ref="H88:I88"/>
    <mergeCell ref="H89:I89"/>
    <mergeCell ref="H90:I90"/>
    <mergeCell ref="H91:I91"/>
    <mergeCell ref="H82:I82"/>
    <mergeCell ref="H83:I83"/>
    <mergeCell ref="H84:I84"/>
    <mergeCell ref="H85:I85"/>
    <mergeCell ref="H86:I86"/>
    <mergeCell ref="H77:I77"/>
    <mergeCell ref="H78:I78"/>
    <mergeCell ref="H79:I79"/>
    <mergeCell ref="H80:I80"/>
    <mergeCell ref="H81:I81"/>
    <mergeCell ref="H72:I72"/>
    <mergeCell ref="H73:I73"/>
    <mergeCell ref="H74:I74"/>
    <mergeCell ref="H75:I75"/>
    <mergeCell ref="H76:I76"/>
    <mergeCell ref="H67:I67"/>
    <mergeCell ref="H68:I68"/>
    <mergeCell ref="H69:I69"/>
    <mergeCell ref="H70:I70"/>
    <mergeCell ref="H71:I71"/>
    <mergeCell ref="J71:K71"/>
    <mergeCell ref="L65:M65"/>
    <mergeCell ref="L66:M66"/>
    <mergeCell ref="L67:M67"/>
    <mergeCell ref="L68:M68"/>
    <mergeCell ref="L69:M69"/>
    <mergeCell ref="L70:M70"/>
    <mergeCell ref="L71:M71"/>
    <mergeCell ref="O69:P69"/>
    <mergeCell ref="O70:P70"/>
    <mergeCell ref="O71:P71"/>
    <mergeCell ref="J66:K66"/>
    <mergeCell ref="J67:K67"/>
    <mergeCell ref="J68:K68"/>
    <mergeCell ref="J69:K69"/>
    <mergeCell ref="J70:K70"/>
    <mergeCell ref="O65:P65"/>
    <mergeCell ref="O66:P66"/>
    <mergeCell ref="D111:E111"/>
    <mergeCell ref="H51:I51"/>
    <mergeCell ref="L51:M51"/>
    <mergeCell ref="J51:K51"/>
    <mergeCell ref="H56:I56"/>
    <mergeCell ref="H57:I57"/>
    <mergeCell ref="H58:I58"/>
    <mergeCell ref="H59:I59"/>
    <mergeCell ref="H60:I60"/>
    <mergeCell ref="H61:I61"/>
    <mergeCell ref="H62:I62"/>
    <mergeCell ref="H63:I63"/>
    <mergeCell ref="H64:I64"/>
    <mergeCell ref="H65:I65"/>
    <mergeCell ref="H66:I66"/>
    <mergeCell ref="D106:E106"/>
    <mergeCell ref="D107:E107"/>
    <mergeCell ref="D108:E108"/>
    <mergeCell ref="D109:E109"/>
    <mergeCell ref="D110:E110"/>
    <mergeCell ref="D101:E101"/>
    <mergeCell ref="D102:E102"/>
    <mergeCell ref="D103:E103"/>
    <mergeCell ref="D104:E104"/>
    <mergeCell ref="D105:E105"/>
    <mergeCell ref="D96:E96"/>
    <mergeCell ref="D97:E97"/>
    <mergeCell ref="D98:E98"/>
    <mergeCell ref="D99:E99"/>
    <mergeCell ref="D100:E100"/>
    <mergeCell ref="D91:E91"/>
    <mergeCell ref="D92:E92"/>
    <mergeCell ref="D93:E93"/>
    <mergeCell ref="D94:E94"/>
    <mergeCell ref="D95:E95"/>
    <mergeCell ref="D86:E86"/>
    <mergeCell ref="D87:E87"/>
    <mergeCell ref="D88:E88"/>
    <mergeCell ref="D89:E89"/>
    <mergeCell ref="D90:E90"/>
    <mergeCell ref="D81:E81"/>
    <mergeCell ref="D82:E82"/>
    <mergeCell ref="D83:E83"/>
    <mergeCell ref="D84:E84"/>
    <mergeCell ref="D85:E85"/>
    <mergeCell ref="D77:E77"/>
    <mergeCell ref="D78:E78"/>
    <mergeCell ref="D79:E79"/>
    <mergeCell ref="D80:E80"/>
    <mergeCell ref="D71:E71"/>
    <mergeCell ref="D72:E72"/>
    <mergeCell ref="D73:E73"/>
    <mergeCell ref="D74:E74"/>
    <mergeCell ref="D75:E75"/>
    <mergeCell ref="D68:E68"/>
    <mergeCell ref="D69:E69"/>
    <mergeCell ref="D70:E70"/>
    <mergeCell ref="D61:E61"/>
    <mergeCell ref="D62:E62"/>
    <mergeCell ref="D63:E63"/>
    <mergeCell ref="D64:E64"/>
    <mergeCell ref="D65:E65"/>
    <mergeCell ref="D76:E76"/>
    <mergeCell ref="E49:Q49"/>
    <mergeCell ref="E47:Q48"/>
    <mergeCell ref="E35:F35"/>
    <mergeCell ref="E41:Q42"/>
    <mergeCell ref="E43:Q44"/>
    <mergeCell ref="E39:Q40"/>
    <mergeCell ref="E46:Q46"/>
    <mergeCell ref="D66:E66"/>
    <mergeCell ref="D67:E67"/>
    <mergeCell ref="O51:P51"/>
    <mergeCell ref="H52:I52"/>
    <mergeCell ref="H53:I53"/>
    <mergeCell ref="H54:I54"/>
    <mergeCell ref="H55:I55"/>
    <mergeCell ref="O64:P64"/>
    <mergeCell ref="D56:E56"/>
    <mergeCell ref="D57:E57"/>
    <mergeCell ref="D58:E58"/>
    <mergeCell ref="D59:E59"/>
    <mergeCell ref="D60:E60"/>
    <mergeCell ref="D51:E51"/>
    <mergeCell ref="D52:E52"/>
    <mergeCell ref="D53:E53"/>
    <mergeCell ref="D54:E54"/>
    <mergeCell ref="D55:E55"/>
    <mergeCell ref="O114:P114"/>
    <mergeCell ref="H114:I114"/>
    <mergeCell ref="J114:K114"/>
    <mergeCell ref="L114:M114"/>
    <mergeCell ref="D112:E112"/>
    <mergeCell ref="D113:E113"/>
    <mergeCell ref="E3:O4"/>
    <mergeCell ref="E11:F11"/>
    <mergeCell ref="E15:F15"/>
    <mergeCell ref="E17:F17"/>
    <mergeCell ref="E23:F23"/>
    <mergeCell ref="E33:F33"/>
    <mergeCell ref="M11:N11"/>
    <mergeCell ref="M13:N13"/>
    <mergeCell ref="E31:F31"/>
    <mergeCell ref="E29:F29"/>
    <mergeCell ref="E19:F19"/>
    <mergeCell ref="C7:E7"/>
    <mergeCell ref="E25:F25"/>
    <mergeCell ref="E27:F27"/>
    <mergeCell ref="K7:M7"/>
    <mergeCell ref="M9:N9"/>
    <mergeCell ref="E9:F9"/>
    <mergeCell ref="E21:F21"/>
  </mergeCells>
  <conditionalFormatting sqref="D52:P113">
    <cfRule type="cellIs" dxfId="1" priority="3" operator="equal">
      <formula>""</formula>
    </cfRule>
  </conditionalFormatting>
  <conditionalFormatting sqref="O114:P114">
    <cfRule type="cellIs" dxfId="0" priority="1" operator="equal">
      <formula>""</formula>
    </cfRule>
  </conditionalFormatting>
  <dataValidations count="1">
    <dataValidation type="whole" allowBlank="1" showErrorMessage="1" error="Ingresar un plazo válido_x000a_" sqref="G15" xr:uid="{D77D0EEE-96E8-4115-8B0D-D55A0E9E10F4}">
      <formula1>1</formula1>
      <formula2>60</formula2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88DF9E16-E47C-43FC-B8D5-792E1BEC5A3F}">
          <x14:formula1>
            <xm:f>LEYENDA!$B$51:$B$53</xm:f>
          </x14:formula1>
          <xm:sqref>G25</xm:sqref>
        </x14:dataValidation>
        <x14:dataValidation type="list" allowBlank="1" showInputMessage="1" showErrorMessage="1" xr:uid="{FA8BB535-71BF-439F-B4E8-04E17432F846}">
          <x14:formula1>
            <xm:f>LEYENDA!$C$14:$C$16</xm:f>
          </x14:formula1>
          <xm:sqref>G33</xm:sqref>
        </x14:dataValidation>
        <x14:dataValidation type="list" allowBlank="1" showInputMessage="1" showErrorMessage="1" xr:uid="{2A3CE5A8-0D31-47A4-8A46-9F97F502F0AD}">
          <x14:formula1>
            <xm:f>LEYENDA!$C$9:$C$10</xm:f>
          </x14:formula1>
          <xm:sqref>G29</xm:sqref>
        </x14:dataValidation>
        <x14:dataValidation type="list" allowBlank="1" showInputMessage="1" showErrorMessage="1" xr:uid="{7CD98F7D-5354-4E61-9130-34F9F4AEBD9B}">
          <x14:formula1>
            <xm:f>LEYENDA!$C$19:$C$21</xm:f>
          </x14:formula1>
          <xm:sqref>G23</xm:sqref>
        </x14:dataValidation>
        <x14:dataValidation type="list" allowBlank="1" showInputMessage="1" showErrorMessage="1" xr:uid="{F5F8EA96-D50D-40F3-A4A7-65706DDEE046}">
          <x14:formula1>
            <xm:f>LEYENDA!$C$32:$C$33</xm:f>
          </x14:formula1>
          <xm:sqref>G21</xm:sqref>
        </x14:dataValidation>
        <x14:dataValidation type="list" allowBlank="1" showInputMessage="1" showErrorMessage="1" xr:uid="{6B7A139C-695B-4774-9F09-DDB1883390C7}">
          <x14:formula1>
            <xm:f>LEYENDA!C27:C28</xm:f>
          </x14:formula1>
          <xm:sqref>G9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73647-823D-4132-91AA-27A0E6608046}">
  <dimension ref="C5:O19"/>
  <sheetViews>
    <sheetView showGridLines="0" topLeftCell="A4" workbookViewId="0">
      <selection activeCell="M8" sqref="M8"/>
    </sheetView>
  </sheetViews>
  <sheetFormatPr baseColWidth="10" defaultRowHeight="14.5" x14ac:dyDescent="0.35"/>
  <cols>
    <col min="3" max="3" width="8.453125" bestFit="1" customWidth="1"/>
    <col min="4" max="4" width="23.7265625" bestFit="1" customWidth="1"/>
    <col min="5" max="5" width="23.7265625" customWidth="1"/>
    <col min="6" max="6" width="6.7265625" bestFit="1" customWidth="1"/>
    <col min="7" max="7" width="7.1796875" bestFit="1" customWidth="1"/>
    <col min="8" max="8" width="7.1796875" hidden="1" customWidth="1"/>
    <col min="9" max="9" width="7.1796875" customWidth="1"/>
    <col min="10" max="10" width="8.1796875" bestFit="1" customWidth="1"/>
    <col min="11" max="11" width="24.54296875" bestFit="1" customWidth="1"/>
  </cols>
  <sheetData>
    <row r="5" spans="3:15" x14ac:dyDescent="0.35">
      <c r="O5">
        <f>3*12</f>
        <v>36</v>
      </c>
    </row>
    <row r="6" spans="3:15" x14ac:dyDescent="0.35">
      <c r="O6">
        <f>4*12</f>
        <v>48</v>
      </c>
    </row>
    <row r="7" spans="3:15" x14ac:dyDescent="0.35">
      <c r="O7">
        <f>5*12</f>
        <v>60</v>
      </c>
    </row>
    <row r="10" spans="3:15" ht="31.5" customHeight="1" x14ac:dyDescent="0.35">
      <c r="C10" s="169" t="s">
        <v>136</v>
      </c>
      <c r="D10" s="169" t="s">
        <v>39</v>
      </c>
      <c r="E10" s="170" t="s">
        <v>13</v>
      </c>
      <c r="F10" s="170" t="s">
        <v>41</v>
      </c>
      <c r="G10" s="170" t="s">
        <v>14</v>
      </c>
      <c r="H10" s="171" t="s">
        <v>38</v>
      </c>
      <c r="I10" s="170" t="s">
        <v>137</v>
      </c>
      <c r="J10" s="172" t="s">
        <v>40</v>
      </c>
      <c r="K10" s="171" t="s">
        <v>42</v>
      </c>
    </row>
    <row r="11" spans="3:15" ht="31.5" customHeight="1" x14ac:dyDescent="0.35">
      <c r="C11" s="21">
        <v>1</v>
      </c>
      <c r="D11" s="21">
        <v>53000</v>
      </c>
      <c r="E11" s="21">
        <v>0</v>
      </c>
      <c r="F11" s="21">
        <v>60</v>
      </c>
      <c r="G11" s="138">
        <v>0.129</v>
      </c>
      <c r="H11" s="32">
        <v>0.1410047991707688</v>
      </c>
      <c r="I11" s="138">
        <f>+(1+G11)^(0.0833333333333333)-1</f>
        <v>1.0162312880815705E-2</v>
      </c>
      <c r="J11" s="21">
        <v>1221.8800000000001</v>
      </c>
      <c r="K11" s="20">
        <v>46083</v>
      </c>
    </row>
    <row r="12" spans="3:15" ht="31.5" customHeight="1" x14ac:dyDescent="0.35">
      <c r="C12" s="21">
        <v>2</v>
      </c>
      <c r="D12" s="21">
        <v>53000</v>
      </c>
      <c r="E12" s="21">
        <v>1</v>
      </c>
      <c r="F12" s="21">
        <v>60</v>
      </c>
      <c r="G12" s="138">
        <v>0.129</v>
      </c>
      <c r="H12" s="32">
        <v>0.14144934729731395</v>
      </c>
      <c r="I12" s="138">
        <f t="shared" ref="I12:I19" si="0">+(1+G12)^(0.0833333333333333)-1</f>
        <v>1.0162312880815705E-2</v>
      </c>
      <c r="J12" s="21">
        <v>1235.4100000000001</v>
      </c>
      <c r="K12" s="20">
        <v>46114</v>
      </c>
    </row>
    <row r="13" spans="3:15" ht="31.5" customHeight="1" x14ac:dyDescent="0.35">
      <c r="C13" s="21">
        <v>3</v>
      </c>
      <c r="D13" s="21">
        <v>53000</v>
      </c>
      <c r="E13" s="21">
        <v>2</v>
      </c>
      <c r="F13" s="21">
        <v>60</v>
      </c>
      <c r="G13" s="138">
        <v>0.129</v>
      </c>
      <c r="H13" s="32">
        <v>0.14134754494223256</v>
      </c>
      <c r="I13" s="138">
        <f t="shared" si="0"/>
        <v>1.0162312880815705E-2</v>
      </c>
      <c r="J13" s="21">
        <v>1249.0899999999999</v>
      </c>
      <c r="K13" s="20">
        <v>46144</v>
      </c>
    </row>
    <row r="14" spans="3:15" ht="31.5" customHeight="1" x14ac:dyDescent="0.35">
      <c r="C14" s="21">
        <v>4</v>
      </c>
      <c r="D14" s="21">
        <v>53000</v>
      </c>
      <c r="E14" s="21">
        <v>0</v>
      </c>
      <c r="F14" s="21">
        <v>48</v>
      </c>
      <c r="G14" s="138">
        <v>0.129</v>
      </c>
      <c r="H14" s="32">
        <v>0.1409513425890685</v>
      </c>
      <c r="I14" s="138">
        <f t="shared" si="0"/>
        <v>1.0162312880815705E-2</v>
      </c>
      <c r="J14" s="21">
        <v>1439.05</v>
      </c>
      <c r="K14" s="20">
        <v>46083</v>
      </c>
    </row>
    <row r="15" spans="3:15" ht="31.5" customHeight="1" x14ac:dyDescent="0.35">
      <c r="C15" s="21">
        <v>5</v>
      </c>
      <c r="D15" s="21">
        <v>53000</v>
      </c>
      <c r="E15" s="21">
        <v>1</v>
      </c>
      <c r="F15" s="21">
        <v>48</v>
      </c>
      <c r="G15" s="138">
        <v>0.129</v>
      </c>
      <c r="H15" s="32">
        <v>0.14149255745594225</v>
      </c>
      <c r="I15" s="138">
        <f t="shared" si="0"/>
        <v>1.0162312880815705E-2</v>
      </c>
      <c r="J15" s="21">
        <v>1454.99</v>
      </c>
      <c r="K15" s="20">
        <v>46114</v>
      </c>
    </row>
    <row r="16" spans="3:15" ht="31.5" customHeight="1" x14ac:dyDescent="0.35">
      <c r="C16" s="21">
        <v>6</v>
      </c>
      <c r="D16" s="21">
        <v>53000</v>
      </c>
      <c r="E16" s="21">
        <v>2</v>
      </c>
      <c r="F16" s="21">
        <v>48</v>
      </c>
      <c r="G16" s="138">
        <v>0.129</v>
      </c>
      <c r="H16" s="32">
        <v>0.14136958352120432</v>
      </c>
      <c r="I16" s="138">
        <f t="shared" si="0"/>
        <v>1.0162312880815705E-2</v>
      </c>
      <c r="J16" s="21">
        <v>1471.0999999999997</v>
      </c>
      <c r="K16" s="20">
        <v>46144</v>
      </c>
    </row>
    <row r="17" spans="3:11" ht="31.5" customHeight="1" x14ac:dyDescent="0.35">
      <c r="C17" s="21">
        <v>7</v>
      </c>
      <c r="D17" s="21">
        <v>53000</v>
      </c>
      <c r="E17" s="21">
        <v>0</v>
      </c>
      <c r="F17" s="21">
        <v>36</v>
      </c>
      <c r="G17" s="138">
        <v>0.129</v>
      </c>
      <c r="H17" s="32">
        <v>0.14084713522170045</v>
      </c>
      <c r="I17" s="138">
        <f t="shared" si="0"/>
        <v>1.0162312880815705E-2</v>
      </c>
      <c r="J17" s="21">
        <v>1805.17</v>
      </c>
      <c r="K17" s="20">
        <v>46083</v>
      </c>
    </row>
    <row r="18" spans="3:11" ht="31.5" customHeight="1" x14ac:dyDescent="0.35">
      <c r="C18" s="21">
        <v>8</v>
      </c>
      <c r="D18" s="21">
        <v>53000</v>
      </c>
      <c r="E18" s="21">
        <v>1</v>
      </c>
      <c r="F18" s="21">
        <v>36</v>
      </c>
      <c r="G18" s="138">
        <v>0.129</v>
      </c>
      <c r="H18" s="32">
        <v>0.14154938417219398</v>
      </c>
      <c r="I18" s="138">
        <f t="shared" si="0"/>
        <v>1.0162312880815705E-2</v>
      </c>
      <c r="J18" s="21">
        <v>1825.1699999999998</v>
      </c>
      <c r="K18" s="20">
        <v>46114</v>
      </c>
    </row>
    <row r="19" spans="3:11" ht="31.5" customHeight="1" x14ac:dyDescent="0.35">
      <c r="C19" s="21">
        <v>9</v>
      </c>
      <c r="D19" s="21">
        <v>53000</v>
      </c>
      <c r="E19" s="21">
        <v>2</v>
      </c>
      <c r="F19" s="21">
        <v>36</v>
      </c>
      <c r="G19" s="138">
        <v>0.129</v>
      </c>
      <c r="H19" s="32">
        <v>0.14139124533279657</v>
      </c>
      <c r="I19" s="138">
        <f t="shared" si="0"/>
        <v>1.0162312880815705E-2</v>
      </c>
      <c r="J19" s="21">
        <v>1845.38</v>
      </c>
      <c r="K19" s="20">
        <v>46144</v>
      </c>
    </row>
  </sheetData>
  <dataValidations disablePrompts="1" count="1">
    <dataValidation type="whole" allowBlank="1" showErrorMessage="1" error="Ingresar un plazo válido_x000a_" sqref="F11:F19" xr:uid="{43DEE8C7-DF6B-4833-9A95-55AD3B8DA770}">
      <formula1>1</formula1>
      <formula2>60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CC516-340E-4AEE-A01C-A47EF32693C5}">
  <dimension ref="B2:M17"/>
  <sheetViews>
    <sheetView workbookViewId="0">
      <selection activeCell="L16" sqref="L16"/>
    </sheetView>
  </sheetViews>
  <sheetFormatPr baseColWidth="10" defaultRowHeight="14.5" x14ac:dyDescent="0.35"/>
  <cols>
    <col min="1" max="1" width="3.54296875" customWidth="1"/>
  </cols>
  <sheetData>
    <row r="2" spans="2:13" x14ac:dyDescent="0.35">
      <c r="B2" s="159"/>
      <c r="C2" s="160"/>
      <c r="D2" s="160"/>
      <c r="E2" s="160"/>
      <c r="F2" s="160"/>
      <c r="G2" s="161"/>
      <c r="I2" s="159"/>
      <c r="J2" s="160"/>
      <c r="K2" s="160"/>
      <c r="L2" s="160"/>
      <c r="M2" s="161"/>
    </row>
    <row r="3" spans="2:13" x14ac:dyDescent="0.35">
      <c r="B3" s="162"/>
      <c r="G3" s="163"/>
      <c r="I3" s="162"/>
      <c r="M3" s="163"/>
    </row>
    <row r="4" spans="2:13" x14ac:dyDescent="0.35">
      <c r="B4" s="162"/>
      <c r="G4" s="163"/>
      <c r="I4" s="162"/>
      <c r="M4" s="163"/>
    </row>
    <row r="5" spans="2:13" x14ac:dyDescent="0.35">
      <c r="B5" s="162"/>
      <c r="G5" s="163"/>
      <c r="I5" s="162"/>
      <c r="M5" s="163"/>
    </row>
    <row r="6" spans="2:13" x14ac:dyDescent="0.35">
      <c r="B6" s="162"/>
      <c r="G6" s="163"/>
      <c r="I6" s="162"/>
      <c r="M6" s="163"/>
    </row>
    <row r="7" spans="2:13" x14ac:dyDescent="0.35">
      <c r="B7" s="162"/>
      <c r="G7" s="163"/>
      <c r="I7" s="162"/>
      <c r="M7" s="163"/>
    </row>
    <row r="8" spans="2:13" x14ac:dyDescent="0.35">
      <c r="B8" s="162"/>
      <c r="G8" s="163"/>
      <c r="I8" s="162"/>
      <c r="M8" s="163"/>
    </row>
    <row r="9" spans="2:13" x14ac:dyDescent="0.35">
      <c r="B9" s="162"/>
      <c r="G9" s="163"/>
      <c r="I9" s="162"/>
      <c r="M9" s="163"/>
    </row>
    <row r="10" spans="2:13" x14ac:dyDescent="0.35">
      <c r="B10" s="162"/>
      <c r="G10" s="163"/>
      <c r="I10" s="162"/>
      <c r="M10" s="163"/>
    </row>
    <row r="11" spans="2:13" x14ac:dyDescent="0.35">
      <c r="B11" s="162"/>
      <c r="G11" s="163"/>
      <c r="I11" s="162"/>
      <c r="M11" s="163"/>
    </row>
    <row r="12" spans="2:13" x14ac:dyDescent="0.35">
      <c r="B12" s="162"/>
      <c r="C12" t="s">
        <v>24</v>
      </c>
      <c r="D12">
        <v>300</v>
      </c>
      <c r="G12" s="163"/>
      <c r="I12" s="162"/>
      <c r="J12" t="s">
        <v>24</v>
      </c>
      <c r="K12">
        <v>350</v>
      </c>
      <c r="M12" s="163"/>
    </row>
    <row r="13" spans="2:13" x14ac:dyDescent="0.35">
      <c r="B13" s="162"/>
      <c r="G13" s="163"/>
      <c r="I13" s="162"/>
      <c r="M13" s="163"/>
    </row>
    <row r="14" spans="2:13" x14ac:dyDescent="0.35">
      <c r="B14" s="162"/>
      <c r="G14" s="163"/>
      <c r="I14" s="162"/>
      <c r="M14" s="163"/>
    </row>
    <row r="15" spans="2:13" x14ac:dyDescent="0.35">
      <c r="B15" s="162"/>
      <c r="G15" s="163"/>
      <c r="I15" s="162"/>
      <c r="M15" s="163"/>
    </row>
    <row r="16" spans="2:13" x14ac:dyDescent="0.35">
      <c r="B16" s="162"/>
      <c r="G16" s="163"/>
      <c r="I16" s="162"/>
      <c r="M16" s="163"/>
    </row>
    <row r="17" spans="2:13" x14ac:dyDescent="0.35">
      <c r="B17" s="164"/>
      <c r="C17" s="165"/>
      <c r="D17" s="165"/>
      <c r="E17" s="165"/>
      <c r="F17" s="165"/>
      <c r="G17" s="166"/>
      <c r="I17" s="164"/>
      <c r="J17" s="165"/>
      <c r="K17" s="165"/>
      <c r="L17" s="165"/>
      <c r="M17" s="16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24FFB-F770-43E0-9515-99A86455D1D5}">
  <sheetPr codeName="Hoja2">
    <tabColor theme="8" tint="-0.249977111117893"/>
  </sheetPr>
  <dimension ref="A1:AD300"/>
  <sheetViews>
    <sheetView showGridLines="0" topLeftCell="G1" zoomScale="85" zoomScaleNormal="85" workbookViewId="0">
      <selection activeCell="Q8" sqref="O8:Q8"/>
    </sheetView>
  </sheetViews>
  <sheetFormatPr baseColWidth="10" defaultColWidth="11.453125" defaultRowHeight="14.5" x14ac:dyDescent="0.35"/>
  <cols>
    <col min="1" max="1" width="2.7265625" style="34" customWidth="1"/>
    <col min="2" max="2" width="28.453125" style="34" customWidth="1"/>
    <col min="3" max="3" width="22.453125" style="36" customWidth="1"/>
    <col min="4" max="4" width="10.81640625" style="34" customWidth="1"/>
    <col min="5" max="5" width="4" style="34" customWidth="1"/>
    <col min="6" max="6" width="8.81640625" style="35" customWidth="1"/>
    <col min="7" max="7" width="11.1796875" style="36" customWidth="1"/>
    <col min="8" max="10" width="10.7265625" style="36" customWidth="1"/>
    <col min="11" max="11" width="16.1796875" style="37" customWidth="1"/>
    <col min="12" max="12" width="11.7265625" style="36" customWidth="1"/>
    <col min="13" max="13" width="16.1796875" style="36" customWidth="1"/>
    <col min="14" max="14" width="24.7265625" style="36" customWidth="1"/>
    <col min="15" max="20" width="16.1796875" style="36" customWidth="1"/>
    <col min="21" max="23" width="11.81640625" style="34" hidden="1" customWidth="1"/>
    <col min="24" max="25" width="11.26953125" style="34" hidden="1" customWidth="1"/>
    <col min="26" max="26" width="2" style="34" customWidth="1"/>
    <col min="27" max="27" width="11.453125" style="38" customWidth="1"/>
    <col min="28" max="28" width="12.7265625" style="34" bestFit="1" customWidth="1"/>
    <col min="29" max="16384" width="11.453125" style="34"/>
  </cols>
  <sheetData>
    <row r="1" spans="1:29" ht="17" x14ac:dyDescent="0.5">
      <c r="A1" s="33"/>
      <c r="K1" s="149">
        <f>+($C$19-$C$17)</f>
        <v>36</v>
      </c>
      <c r="N1" s="40">
        <f ca="1">+N8/SUM(M8:M128)</f>
        <v>254.59117953343195</v>
      </c>
    </row>
    <row r="2" spans="1:29" x14ac:dyDescent="0.35">
      <c r="A2" s="39"/>
      <c r="C2" s="167">
        <f>+DATE(YEAR(C17),MONTH(C17)+1,C18)-C17</f>
        <v>6</v>
      </c>
      <c r="D2" s="168">
        <v>45886</v>
      </c>
      <c r="G2" s="40"/>
      <c r="H2" s="40"/>
      <c r="I2" s="40"/>
      <c r="J2" s="40"/>
      <c r="K2" s="41">
        <f ca="1">+SUM(OFFSET($L$8, IF(F9=0, 0, 1), 0):L9)</f>
        <v>30</v>
      </c>
      <c r="L2" s="40"/>
      <c r="M2" s="40"/>
      <c r="N2" s="40">
        <f ca="1">+N9/SUM(M8:M128)</f>
        <v>255.11061551713064</v>
      </c>
      <c r="O2" s="40"/>
      <c r="P2" s="40"/>
      <c r="Q2" s="40"/>
      <c r="R2" s="42"/>
      <c r="S2" s="42"/>
      <c r="T2" s="40"/>
      <c r="U2" s="43"/>
      <c r="V2" s="43"/>
      <c r="W2" s="43"/>
      <c r="X2" s="43"/>
      <c r="Y2" s="43"/>
    </row>
    <row r="3" spans="1:29" x14ac:dyDescent="0.35">
      <c r="A3" s="39"/>
      <c r="D3" s="168">
        <v>45834</v>
      </c>
      <c r="G3" s="40"/>
      <c r="H3" s="40"/>
      <c r="I3" s="40"/>
      <c r="J3" s="40"/>
      <c r="K3" s="117"/>
      <c r="L3" s="40"/>
      <c r="M3" s="119"/>
      <c r="N3" s="40"/>
      <c r="O3" s="40"/>
      <c r="P3" s="40"/>
      <c r="Q3" s="40"/>
      <c r="R3" s="40"/>
      <c r="S3" s="40"/>
      <c r="T3" s="40"/>
      <c r="U3" s="43"/>
      <c r="V3" s="43"/>
      <c r="W3" s="43"/>
      <c r="X3" s="43"/>
      <c r="Y3" s="43"/>
    </row>
    <row r="4" spans="1:29" ht="31.5" customHeight="1" x14ac:dyDescent="0.35">
      <c r="B4" s="44"/>
      <c r="C4" s="118"/>
      <c r="D4" s="34">
        <f>+D2-D3</f>
        <v>52</v>
      </c>
      <c r="F4" s="116"/>
      <c r="G4" s="116"/>
      <c r="H4" s="45"/>
      <c r="I4" s="46"/>
      <c r="J4" s="46"/>
      <c r="K4" s="147"/>
      <c r="L4" s="206" t="s">
        <v>135</v>
      </c>
      <c r="M4" s="206"/>
      <c r="N4" s="206"/>
      <c r="O4" s="206"/>
      <c r="P4" s="206"/>
      <c r="Q4" s="47"/>
      <c r="R4" s="40"/>
      <c r="S4" s="40"/>
      <c r="T4" s="40"/>
      <c r="U4" s="43"/>
      <c r="V4" s="43"/>
      <c r="W4" s="43"/>
      <c r="X4" s="43"/>
      <c r="Y4" s="43"/>
    </row>
    <row r="5" spans="1:29" x14ac:dyDescent="0.35">
      <c r="B5" s="155"/>
      <c r="C5" s="156"/>
      <c r="T5" s="48"/>
    </row>
    <row r="6" spans="1:29" ht="29" x14ac:dyDescent="0.35">
      <c r="B6" s="155" t="s">
        <v>84</v>
      </c>
      <c r="C6" s="157">
        <v>3.8</v>
      </c>
      <c r="F6" s="137" t="s">
        <v>24</v>
      </c>
      <c r="G6" s="137" t="s">
        <v>85</v>
      </c>
      <c r="H6" s="137" t="s">
        <v>86</v>
      </c>
      <c r="I6" s="137" t="s">
        <v>87</v>
      </c>
      <c r="J6" s="137" t="s">
        <v>88</v>
      </c>
      <c r="K6" s="137" t="s">
        <v>89</v>
      </c>
      <c r="L6" s="137" t="s">
        <v>90</v>
      </c>
      <c r="M6" s="137" t="s">
        <v>91</v>
      </c>
      <c r="N6" s="137" t="s">
        <v>92</v>
      </c>
      <c r="O6" s="137" t="s">
        <v>22</v>
      </c>
      <c r="P6" s="137" t="s">
        <v>23</v>
      </c>
      <c r="Q6" s="137" t="s">
        <v>93</v>
      </c>
      <c r="R6" s="137" t="s">
        <v>94</v>
      </c>
      <c r="S6" s="137" t="s">
        <v>95</v>
      </c>
      <c r="T6" s="137" t="s">
        <v>96</v>
      </c>
      <c r="U6" s="49" t="s">
        <v>97</v>
      </c>
      <c r="V6" s="49" t="s">
        <v>98</v>
      </c>
      <c r="W6" s="49" t="s">
        <v>99</v>
      </c>
      <c r="X6" s="49" t="s">
        <v>100</v>
      </c>
      <c r="Y6" s="49" t="s">
        <v>101</v>
      </c>
      <c r="AB6" s="50">
        <f ca="1">+IRR(AB7:AB128)</f>
        <v>1.0394513044801768E-2</v>
      </c>
      <c r="AC6" s="50">
        <f ca="1">+(1+AB6)^(12)-1</f>
        <v>0.13211814049931547</v>
      </c>
    </row>
    <row r="7" spans="1:29" ht="15.75" customHeight="1" x14ac:dyDescent="0.35">
      <c r="B7" s="155" t="s">
        <v>102</v>
      </c>
      <c r="C7" s="158">
        <f>+IF(SIMULADOR_!G9="DÓLARES",SIMULADOR_!G13,SIMULADOR_!G13/C6)</f>
        <v>2973.6842105263158</v>
      </c>
      <c r="M7" s="51"/>
      <c r="O7" s="52"/>
      <c r="P7" s="53"/>
      <c r="Q7" s="53"/>
      <c r="R7" s="52"/>
      <c r="S7" s="52"/>
      <c r="T7" s="48"/>
      <c r="U7" s="54"/>
      <c r="V7" s="54"/>
      <c r="W7" s="54"/>
      <c r="Y7" s="54"/>
      <c r="AA7" s="55"/>
      <c r="AB7" s="135">
        <f ca="1">+MAX(N8:N128)</f>
        <v>11323.05510594103</v>
      </c>
    </row>
    <row r="8" spans="1:29" ht="20.149999999999999" customHeight="1" x14ac:dyDescent="0.35">
      <c r="B8" s="56" t="s">
        <v>103</v>
      </c>
      <c r="C8" s="129">
        <f>+SIMULADOR_!G13+SIMULADOR_!G31</f>
        <v>11300</v>
      </c>
      <c r="D8" s="57"/>
      <c r="E8" s="34">
        <v>1</v>
      </c>
      <c r="F8" s="150">
        <f>+IF($C$19&gt;K8,0,1+F7)</f>
        <v>0</v>
      </c>
      <c r="G8" s="58">
        <f>IF($F8=0,DAY(K8),IF($C$15&gt;=$F8,$C$18,0))</f>
        <v>1</v>
      </c>
      <c r="H8" s="58">
        <f>IF($F8=0,MONTH(K8),IF($F8=1,MONTH($C$19),IF($C$15&gt;=$F8,IF(H7=12,1,H7+1),0)))</f>
        <v>4</v>
      </c>
      <c r="I8" s="59">
        <f t="shared" ref="I8:I71" si="0">IF($F8=0,YEAR(K8),IF($F8=1,YEAR($C$19),IF($C$15&gt;=$F8,IF(H7=12,I7+1,I7),0)))</f>
        <v>2026</v>
      </c>
      <c r="J8" s="19">
        <f>IF($C$35=2,IF(IF(DAY(K8)&lt;=15,IF(OR(MONTH(K8)=8,MONTH(K8)=1),1,0),IF(OR(MONTH(K8)=7,MONTH(K8)=12),1,0)),2,IF(OR(F8="",F8=0),0,1)),IF(OR(F8="",F8=0),0,1))</f>
        <v>0</v>
      </c>
      <c r="K8" s="60">
        <f>+IF(DAY(C17)&lt;C18, DATE(YEAR(C17),MONTH(C17),C18),DATE(YEAR(C17),MONTH(C17)+1,C18))</f>
        <v>46113</v>
      </c>
      <c r="L8" s="61">
        <f>+K8-C17</f>
        <v>6</v>
      </c>
      <c r="M8" s="133">
        <f ca="1">IF(OR(F8&gt;$C$15, F8=0),0, 1*(1/(1+$C$30)^SUM(OFFSET($L$8, IF(F8=0, 1, 0), 0):L8)))*J8</f>
        <v>0</v>
      </c>
      <c r="N8" s="62">
        <f>C8</f>
        <v>11300</v>
      </c>
      <c r="O8" s="63">
        <f>IF(AND(F8&gt;0,F8&lt;$C$15),R8-P8-Q8, IF(AND(F8&gt;0,F8=$C$15), N8, -P8-Q8))</f>
        <v>-23.055105941030106</v>
      </c>
      <c r="P8" s="63">
        <f>ROUND(N8*((1+$C$12)^(L8/30)-1),2)</f>
        <v>21.36</v>
      </c>
      <c r="Q8" s="63">
        <f>+N8*((1+$C$27)^(L8)-1)</f>
        <v>1.6951059410301061</v>
      </c>
      <c r="R8" s="132">
        <f ca="1">ROUND(IF(AND(F8&gt;0,F8&lt;$C$15),OFFSET($N$8,IF(F8=0,1,0),0)/SUM($M$8:$M$204),IF(F8=$C$15,N8+P8+Q8,0)),2)*J8</f>
        <v>0</v>
      </c>
      <c r="S8" s="63">
        <f>+IF(OR(F8=0,F8&gt;$C$15),0,IF(F8&lt;=$C$15,$C$39,0))</f>
        <v>0</v>
      </c>
      <c r="T8" s="62">
        <f>IF(F8=0,0,O8+P8+Q8+S8)</f>
        <v>0</v>
      </c>
      <c r="U8" s="54"/>
      <c r="V8" s="54"/>
      <c r="W8" s="54"/>
      <c r="Y8" s="54"/>
      <c r="AA8" s="55" t="str">
        <f>IF(IF(F8=0,"",F8)&gt;$C$15,"",IF(F8=0,"",F8))</f>
        <v/>
      </c>
      <c r="AB8" s="134" t="str">
        <f>IF(T8=0, "", -T8)</f>
        <v/>
      </c>
    </row>
    <row r="9" spans="1:29" ht="20.149999999999999" customHeight="1" x14ac:dyDescent="0.35">
      <c r="B9" s="64"/>
      <c r="D9" s="57"/>
      <c r="E9" s="34">
        <v>2</v>
      </c>
      <c r="F9" s="150">
        <f t="shared" ref="F9:F72" si="1">+IF($C$19&gt;K9,0,1+F8)</f>
        <v>1</v>
      </c>
      <c r="G9" s="58">
        <f>IF($F9=0,DAY(K9),IF($C$15&gt;=$F9,$C$18,0))</f>
        <v>1</v>
      </c>
      <c r="H9" s="58">
        <f t="shared" ref="H9:H71" si="2">IF($F9=0,MONTH(K9),IF($F9=1,MONTH($C$19),IF($C$15&gt;=$F9,IF(H8=12,1,H8+1),0)))</f>
        <v>5</v>
      </c>
      <c r="I9" s="59">
        <f t="shared" si="0"/>
        <v>2026</v>
      </c>
      <c r="J9" s="19">
        <f t="shared" ref="J9:J72" si="3">IF($C$35=2,IF(IF(DAY(K9)&lt;=15,IF(OR(MONTH(K9)=8,MONTH(K9)=1),1,0),IF(OR(MONTH(K9)=7,MONTH(K9)=12),1,0)),2,IF(OR(F9="",F9=0),0,1)),IF(OR(F9="",F9=0),0,1))</f>
        <v>1</v>
      </c>
      <c r="K9" s="60">
        <f>+EDATE(K8,1)</f>
        <v>46143</v>
      </c>
      <c r="L9" s="61">
        <f>IF($C$15&gt;=$F9,K9-K8,0)</f>
        <v>30</v>
      </c>
      <c r="M9" s="133">
        <f ca="1">IF(OR(F9&gt;$C$15, F9=0),0, 1*(1/(1+$C$30)^SUM(OFFSET($L$8, IF(F9=0, 1, 0), 0):L9)))*J9</f>
        <v>0.98785033266349709</v>
      </c>
      <c r="N9" s="121">
        <f>IF(N8-O8&lt;0.000000001,0,N8-O8)</f>
        <v>11323.05510594103</v>
      </c>
      <c r="O9" s="63">
        <f t="shared" ref="O9:O72" ca="1" si="4">IF(AND(F9&gt;0,F9&lt;$C$15),R9-P9-Q9, IF(AND(F9&gt;0,F9=$C$15), N9, -P9-Q9))</f>
        <v>138.6546294965145</v>
      </c>
      <c r="P9" s="121">
        <f t="shared" ref="P9:P72" si="5">ROUND(N9*((1+$C$12)^(L9/30)-1),2)</f>
        <v>107.44</v>
      </c>
      <c r="Q9" s="121">
        <f t="shared" ref="Q9:Q72" si="6">+N9*((1+$C$27)^(L9)-1)</f>
        <v>8.4953705034855052</v>
      </c>
      <c r="R9" s="132">
        <f t="shared" ref="R9:R72" ca="1" si="7">ROUND(IF(AND(F9&gt;0,F9&lt;$C$15),OFFSET($N$8,IF(F9=0,1,0),0)/SUM($M$8:$M$204),IF(F9=$C$15,N9+P9+Q9,0)),2)*J9</f>
        <v>254.59</v>
      </c>
      <c r="S9" s="63">
        <f t="shared" ref="S9:S72" si="8">+IF(OR(F9=0,F9&gt;$C$15),0,IF(F9&lt;=$C$15,$C$39,0))</f>
        <v>0</v>
      </c>
      <c r="T9" s="62">
        <f t="shared" ref="T9:T72" ca="1" si="9">IF(F9=0,0,O9+P9+Q9+S9)</f>
        <v>254.59</v>
      </c>
      <c r="U9" s="65">
        <f t="shared" ref="U9:U38" si="10">IF($C$15&gt;=$F8,-PMT($C$12,$C$15,$C$31,0),0)</f>
        <v>0</v>
      </c>
      <c r="V9" s="65">
        <f t="shared" ref="V9:V38" si="11">IF($C$15&gt;=$F8,-PMT($C$12,$C$15,$C$32,0),0)</f>
        <v>0</v>
      </c>
      <c r="W9" s="65">
        <f t="shared" ref="W9:W38" si="12">IF($C$15&gt;=$F8,-PMT($C$12,$C$15,$C$33,0),0)</f>
        <v>0</v>
      </c>
      <c r="X9" s="43">
        <v>0</v>
      </c>
      <c r="Y9" s="65">
        <f t="shared" ref="Y9:Y38" si="13">T8+U9+V9+W9+X9</f>
        <v>0</v>
      </c>
      <c r="AA9" s="55">
        <f t="shared" ref="AA9:AA72" si="14">IF(IF(F9=0,"",F9)&gt;$C$15,"",IF(F9=0,"",F9))</f>
        <v>1</v>
      </c>
      <c r="AB9" s="54">
        <f t="shared" ref="AB9:AB72" ca="1" si="15">IF(T9=0, "", -T9)</f>
        <v>-254.59</v>
      </c>
    </row>
    <row r="10" spans="1:29" ht="20.149999999999999" customHeight="1" x14ac:dyDescent="0.35">
      <c r="B10" s="56" t="s">
        <v>104</v>
      </c>
      <c r="C10" s="104">
        <f ca="1">+AC6</f>
        <v>0.13211814049931547</v>
      </c>
      <c r="D10" s="57"/>
      <c r="E10" s="34">
        <v>3</v>
      </c>
      <c r="F10" s="150">
        <f t="shared" si="1"/>
        <v>2</v>
      </c>
      <c r="G10" s="58">
        <f>IF($F10=0,DAY(K10),IF($C$15&gt;=$F10,$C$18,0))</f>
        <v>1</v>
      </c>
      <c r="H10" s="58">
        <f t="shared" si="2"/>
        <v>6</v>
      </c>
      <c r="I10" s="59">
        <f t="shared" si="0"/>
        <v>2026</v>
      </c>
      <c r="J10" s="19">
        <f t="shared" si="3"/>
        <v>1</v>
      </c>
      <c r="K10" s="60">
        <f t="shared" ref="K10:K73" si="16">+EDATE(K9,1)</f>
        <v>46174</v>
      </c>
      <c r="L10" s="61">
        <f t="shared" ref="L10:L73" si="17">IF($C$15&gt;=$F10,K10-K9,0)</f>
        <v>31</v>
      </c>
      <c r="M10" s="133">
        <f ca="1">IF(OR(F10&gt;$C$15, F10=0),0, 1*(1/(1+$C$30)^SUM(OFFSET($L$8, IF(F10=0, 1, 0), 0):L10)))*J10</f>
        <v>0.97750647105180721</v>
      </c>
      <c r="N10" s="121">
        <f ca="1">IF(N9-O9&lt;0.000000001,0,N9-O9)</f>
        <v>11184.400476444516</v>
      </c>
      <c r="O10" s="63">
        <f t="shared" ca="1" si="4"/>
        <v>136.23883837870687</v>
      </c>
      <c r="P10" s="63">
        <f ca="1">ROUND(N10*((1+$C$12)^(L10/30)-1),2)</f>
        <v>109.68</v>
      </c>
      <c r="Q10" s="63">
        <f t="shared" ca="1" si="6"/>
        <v>8.6711616212931109</v>
      </c>
      <c r="R10" s="132">
        <f t="shared" ca="1" si="7"/>
        <v>254.59</v>
      </c>
      <c r="S10" s="63">
        <f t="shared" si="8"/>
        <v>0</v>
      </c>
      <c r="T10" s="62">
        <f t="shared" ca="1" si="9"/>
        <v>254.59</v>
      </c>
      <c r="U10" s="65">
        <f t="shared" si="10"/>
        <v>0</v>
      </c>
      <c r="V10" s="65">
        <f t="shared" si="11"/>
        <v>0</v>
      </c>
      <c r="W10" s="65">
        <f t="shared" si="12"/>
        <v>0</v>
      </c>
      <c r="X10" s="43">
        <v>0</v>
      </c>
      <c r="Y10" s="65">
        <f t="shared" ca="1" si="13"/>
        <v>254.59</v>
      </c>
      <c r="AA10" s="55">
        <f t="shared" si="14"/>
        <v>2</v>
      </c>
      <c r="AB10" s="54">
        <f t="shared" ca="1" si="15"/>
        <v>-254.59</v>
      </c>
    </row>
    <row r="11" spans="1:29" ht="20.149999999999999" customHeight="1" x14ac:dyDescent="0.35">
      <c r="B11" s="56" t="s">
        <v>105</v>
      </c>
      <c r="C11" s="104">
        <f>+SIMULADOR_!G17</f>
        <v>0.12</v>
      </c>
      <c r="D11" s="57"/>
      <c r="E11" s="34">
        <v>4</v>
      </c>
      <c r="F11" s="150">
        <f t="shared" si="1"/>
        <v>3</v>
      </c>
      <c r="G11" s="58">
        <f t="shared" ref="G11:G74" si="18">IF($F11=0,DAY(K11),IF($C$15&gt;=$F11,$C$18,0))</f>
        <v>1</v>
      </c>
      <c r="H11" s="58">
        <f t="shared" si="2"/>
        <v>7</v>
      </c>
      <c r="I11" s="59">
        <f t="shared" si="0"/>
        <v>2026</v>
      </c>
      <c r="J11" s="19">
        <f t="shared" si="3"/>
        <v>1</v>
      </c>
      <c r="K11" s="60">
        <f t="shared" si="16"/>
        <v>46204</v>
      </c>
      <c r="L11" s="61">
        <f t="shared" si="17"/>
        <v>30</v>
      </c>
      <c r="M11" s="133">
        <f ca="1">IF(OR(F11&gt;$C$15, F11=0),0, 1*(1/(1+$C$30)^SUM(OFFSET($L$8, IF(F11=0, 1, 0), 0):L11)))*J11</f>
        <v>0.96759942093720686</v>
      </c>
      <c r="N11" s="121">
        <f t="shared" ref="N11:N73" ca="1" si="19">IF(N10-O10&lt;0.000000001,0,N10-O10)</f>
        <v>11048.161638065809</v>
      </c>
      <c r="O11" s="63">
        <f t="shared" ca="1" si="4"/>
        <v>141.47087435152386</v>
      </c>
      <c r="P11" s="63">
        <f t="shared" ca="1" si="5"/>
        <v>104.83</v>
      </c>
      <c r="Q11" s="63">
        <f t="shared" ca="1" si="6"/>
        <v>8.2891256484761282</v>
      </c>
      <c r="R11" s="132">
        <f t="shared" ca="1" si="7"/>
        <v>254.59</v>
      </c>
      <c r="S11" s="63">
        <f t="shared" si="8"/>
        <v>0</v>
      </c>
      <c r="T11" s="62">
        <f t="shared" ca="1" si="9"/>
        <v>254.59</v>
      </c>
      <c r="U11" s="65">
        <f t="shared" si="10"/>
        <v>0</v>
      </c>
      <c r="V11" s="65">
        <f t="shared" si="11"/>
        <v>0</v>
      </c>
      <c r="W11" s="65">
        <f t="shared" si="12"/>
        <v>0</v>
      </c>
      <c r="X11" s="43">
        <v>0</v>
      </c>
      <c r="Y11" s="65">
        <f t="shared" ca="1" si="13"/>
        <v>254.59</v>
      </c>
      <c r="AA11" s="55">
        <f t="shared" si="14"/>
        <v>3</v>
      </c>
      <c r="AB11" s="54">
        <f t="shared" ca="1" si="15"/>
        <v>-254.59</v>
      </c>
    </row>
    <row r="12" spans="1:29" ht="20.149999999999999" customHeight="1" x14ac:dyDescent="0.35">
      <c r="B12" s="56" t="s">
        <v>106</v>
      </c>
      <c r="C12" s="105">
        <f>+(1+C11)^(0.0833333333333333)-1</f>
        <v>9.4887929345830457E-3</v>
      </c>
      <c r="D12" s="57"/>
      <c r="E12" s="34">
        <v>4</v>
      </c>
      <c r="F12" s="150">
        <f t="shared" si="1"/>
        <v>4</v>
      </c>
      <c r="G12" s="58">
        <f t="shared" si="18"/>
        <v>1</v>
      </c>
      <c r="H12" s="58">
        <f t="shared" si="2"/>
        <v>8</v>
      </c>
      <c r="I12" s="59">
        <f t="shared" si="0"/>
        <v>2026</v>
      </c>
      <c r="J12" s="19">
        <f t="shared" si="3"/>
        <v>1</v>
      </c>
      <c r="K12" s="60">
        <f t="shared" si="16"/>
        <v>46235</v>
      </c>
      <c r="L12" s="61">
        <f t="shared" si="17"/>
        <v>31</v>
      </c>
      <c r="M12" s="133">
        <f ca="1">IF(OR(F12&gt;$C$15, F12=0),0, 1*(1/(1+$C$30)^SUM(OFFSET($L$8, IF(F12=0, 1, 0), 0):L12)))*J12</f>
        <v>0.9574676082781578</v>
      </c>
      <c r="N12" s="121">
        <f t="shared" ca="1" si="19"/>
        <v>10906.690763714285</v>
      </c>
      <c r="O12" s="63">
        <f t="shared" ca="1" si="4"/>
        <v>139.1741441349661</v>
      </c>
      <c r="P12" s="63">
        <f t="shared" ca="1" si="5"/>
        <v>106.96</v>
      </c>
      <c r="Q12" s="63">
        <f t="shared" ca="1" si="6"/>
        <v>8.4558558650339055</v>
      </c>
      <c r="R12" s="132">
        <f t="shared" ca="1" si="7"/>
        <v>254.59</v>
      </c>
      <c r="S12" s="63">
        <f t="shared" si="8"/>
        <v>0</v>
      </c>
      <c r="T12" s="62">
        <f t="shared" ca="1" si="9"/>
        <v>254.59</v>
      </c>
      <c r="U12" s="65">
        <f t="shared" si="10"/>
        <v>0</v>
      </c>
      <c r="V12" s="65">
        <f t="shared" si="11"/>
        <v>0</v>
      </c>
      <c r="W12" s="65">
        <f t="shared" si="12"/>
        <v>0</v>
      </c>
      <c r="X12" s="43">
        <v>0</v>
      </c>
      <c r="Y12" s="65">
        <f t="shared" ca="1" si="13"/>
        <v>254.59</v>
      </c>
      <c r="AA12" s="55">
        <f t="shared" si="14"/>
        <v>4</v>
      </c>
      <c r="AB12" s="54">
        <f t="shared" ca="1" si="15"/>
        <v>-254.59</v>
      </c>
    </row>
    <row r="13" spans="1:29" ht="20.149999999999999" customHeight="1" x14ac:dyDescent="0.35">
      <c r="B13" s="56" t="s">
        <v>107</v>
      </c>
      <c r="C13" s="105">
        <f>+(1+C12)^(0.0333333333333333)-1</f>
        <v>3.1485145894971645E-4</v>
      </c>
      <c r="D13" s="57"/>
      <c r="E13" s="34">
        <v>6</v>
      </c>
      <c r="F13" s="150">
        <f t="shared" si="1"/>
        <v>5</v>
      </c>
      <c r="G13" s="58">
        <f t="shared" si="18"/>
        <v>1</v>
      </c>
      <c r="H13" s="58">
        <f t="shared" si="2"/>
        <v>9</v>
      </c>
      <c r="I13" s="59">
        <f t="shared" si="0"/>
        <v>2026</v>
      </c>
      <c r="J13" s="19">
        <f t="shared" si="3"/>
        <v>1</v>
      </c>
      <c r="K13" s="60">
        <f t="shared" si="16"/>
        <v>46266</v>
      </c>
      <c r="L13" s="61">
        <f t="shared" si="17"/>
        <v>31</v>
      </c>
      <c r="M13" s="133">
        <f ca="1">IF(OR(F13&gt;$C$15, F13=0),0, 1*(1/(1+$C$30)^SUM(OFFSET($L$8, IF(F13=0, 1, 0), 0):L13)))*J13</f>
        <v>0.94744188665795892</v>
      </c>
      <c r="N13" s="121">
        <f t="shared" ca="1" si="19"/>
        <v>10767.516619579319</v>
      </c>
      <c r="O13" s="63">
        <f t="shared" ca="1" si="4"/>
        <v>140.65204455393277</v>
      </c>
      <c r="P13" s="63">
        <f t="shared" ca="1" si="5"/>
        <v>105.59</v>
      </c>
      <c r="Q13" s="63">
        <f t="shared" ca="1" si="6"/>
        <v>8.3479554460672318</v>
      </c>
      <c r="R13" s="132">
        <f t="shared" ca="1" si="7"/>
        <v>254.59</v>
      </c>
      <c r="S13" s="63">
        <f t="shared" si="8"/>
        <v>0</v>
      </c>
      <c r="T13" s="62">
        <f t="shared" ca="1" si="9"/>
        <v>254.59</v>
      </c>
      <c r="U13" s="65">
        <f t="shared" si="10"/>
        <v>0</v>
      </c>
      <c r="V13" s="65">
        <f t="shared" si="11"/>
        <v>0</v>
      </c>
      <c r="W13" s="65">
        <f t="shared" si="12"/>
        <v>0</v>
      </c>
      <c r="X13" s="43">
        <v>0</v>
      </c>
      <c r="Y13" s="65">
        <f t="shared" ca="1" si="13"/>
        <v>254.59</v>
      </c>
      <c r="AA13" s="55">
        <f t="shared" si="14"/>
        <v>5</v>
      </c>
      <c r="AB13" s="54">
        <f t="shared" ca="1" si="15"/>
        <v>-254.59</v>
      </c>
    </row>
    <row r="14" spans="1:29" ht="20.149999999999999" customHeight="1" x14ac:dyDescent="0.35">
      <c r="B14" s="66"/>
      <c r="C14" s="106"/>
      <c r="D14" s="57"/>
      <c r="E14" s="34">
        <v>7</v>
      </c>
      <c r="F14" s="150">
        <f t="shared" si="1"/>
        <v>6</v>
      </c>
      <c r="G14" s="58">
        <f t="shared" si="18"/>
        <v>1</v>
      </c>
      <c r="H14" s="58">
        <f t="shared" si="2"/>
        <v>10</v>
      </c>
      <c r="I14" s="59">
        <f t="shared" si="0"/>
        <v>2026</v>
      </c>
      <c r="J14" s="19">
        <f t="shared" si="3"/>
        <v>1</v>
      </c>
      <c r="K14" s="60">
        <f t="shared" si="16"/>
        <v>46296</v>
      </c>
      <c r="L14" s="61">
        <f t="shared" si="17"/>
        <v>30</v>
      </c>
      <c r="M14" s="133">
        <f ca="1">IF(OR(F14&gt;$C$15, F14=0),0, 1*(1/(1+$C$30)^SUM(OFFSET($L$8, IF(F14=0, 1, 0), 0):L14)))*J14</f>
        <v>0.93783954178376883</v>
      </c>
      <c r="N14" s="121">
        <f t="shared" ca="1" si="19"/>
        <v>10626.864575025385</v>
      </c>
      <c r="O14" s="63">
        <f t="shared" ca="1" si="4"/>
        <v>145.77696171567356</v>
      </c>
      <c r="P14" s="63">
        <f t="shared" ca="1" si="5"/>
        <v>100.84</v>
      </c>
      <c r="Q14" s="63">
        <f t="shared" ca="1" si="6"/>
        <v>7.9730382843264298</v>
      </c>
      <c r="R14" s="132">
        <f t="shared" ca="1" si="7"/>
        <v>254.59</v>
      </c>
      <c r="S14" s="63">
        <f t="shared" si="8"/>
        <v>0</v>
      </c>
      <c r="T14" s="62">
        <f t="shared" ca="1" si="9"/>
        <v>254.59</v>
      </c>
      <c r="U14" s="65">
        <f t="shared" si="10"/>
        <v>0</v>
      </c>
      <c r="V14" s="65">
        <f t="shared" si="11"/>
        <v>0</v>
      </c>
      <c r="W14" s="65">
        <f t="shared" si="12"/>
        <v>0</v>
      </c>
      <c r="X14" s="43">
        <v>0</v>
      </c>
      <c r="Y14" s="65">
        <f t="shared" ca="1" si="13"/>
        <v>254.59</v>
      </c>
      <c r="AA14" s="55">
        <f t="shared" si="14"/>
        <v>6</v>
      </c>
      <c r="AB14" s="54">
        <f t="shared" ca="1" si="15"/>
        <v>-254.59</v>
      </c>
    </row>
    <row r="15" spans="1:29" ht="20.149999999999999" customHeight="1" x14ac:dyDescent="0.35">
      <c r="B15" s="56" t="s">
        <v>108</v>
      </c>
      <c r="C15" s="107">
        <f>+SIMULADOR_!G15</f>
        <v>60</v>
      </c>
      <c r="D15" s="57"/>
      <c r="E15" s="34">
        <v>8</v>
      </c>
      <c r="F15" s="150">
        <f t="shared" si="1"/>
        <v>7</v>
      </c>
      <c r="G15" s="58">
        <f t="shared" si="18"/>
        <v>1</v>
      </c>
      <c r="H15" s="58">
        <f t="shared" si="2"/>
        <v>11</v>
      </c>
      <c r="I15" s="59">
        <f t="shared" si="0"/>
        <v>2026</v>
      </c>
      <c r="J15" s="19">
        <f t="shared" si="3"/>
        <v>1</v>
      </c>
      <c r="K15" s="60">
        <f t="shared" si="16"/>
        <v>46327</v>
      </c>
      <c r="L15" s="61">
        <f t="shared" si="17"/>
        <v>31</v>
      </c>
      <c r="M15" s="133">
        <f ca="1">IF(OR(F15&gt;$C$15, F15=0),0, 1*(1/(1+$C$30)^SUM(OFFSET($L$8, IF(F15=0, 1, 0), 0):L15)))*J15</f>
        <v>0.92801934725285651</v>
      </c>
      <c r="N15" s="121">
        <f t="shared" ca="1" si="19"/>
        <v>10481.087613309712</v>
      </c>
      <c r="O15" s="63">
        <f t="shared" ca="1" si="4"/>
        <v>143.68411029734219</v>
      </c>
      <c r="P15" s="63">
        <f t="shared" ca="1" si="5"/>
        <v>102.78</v>
      </c>
      <c r="Q15" s="63">
        <f t="shared" ca="1" si="6"/>
        <v>8.1258897026578278</v>
      </c>
      <c r="R15" s="132">
        <f t="shared" ca="1" si="7"/>
        <v>254.59</v>
      </c>
      <c r="S15" s="63">
        <f t="shared" si="8"/>
        <v>0</v>
      </c>
      <c r="T15" s="62">
        <f t="shared" ca="1" si="9"/>
        <v>254.59</v>
      </c>
      <c r="U15" s="65">
        <f t="shared" si="10"/>
        <v>0</v>
      </c>
      <c r="V15" s="65">
        <f t="shared" si="11"/>
        <v>0</v>
      </c>
      <c r="W15" s="65">
        <f t="shared" si="12"/>
        <v>0</v>
      </c>
      <c r="X15" s="43">
        <v>0</v>
      </c>
      <c r="Y15" s="65">
        <f t="shared" ca="1" si="13"/>
        <v>254.59</v>
      </c>
      <c r="AA15" s="55">
        <f t="shared" si="14"/>
        <v>7</v>
      </c>
      <c r="AB15" s="54">
        <f t="shared" ca="1" si="15"/>
        <v>-254.59</v>
      </c>
    </row>
    <row r="16" spans="1:29" ht="20.149999999999999" customHeight="1" x14ac:dyDescent="0.35">
      <c r="B16" s="56" t="s">
        <v>109</v>
      </c>
      <c r="C16" s="107">
        <f>+SIMULADOR_!G23</f>
        <v>0</v>
      </c>
      <c r="D16" s="57"/>
      <c r="E16" s="34">
        <v>9</v>
      </c>
      <c r="F16" s="150">
        <f t="shared" si="1"/>
        <v>8</v>
      </c>
      <c r="G16" s="58">
        <f t="shared" si="18"/>
        <v>1</v>
      </c>
      <c r="H16" s="58">
        <f t="shared" si="2"/>
        <v>12</v>
      </c>
      <c r="I16" s="59">
        <f t="shared" si="0"/>
        <v>2026</v>
      </c>
      <c r="J16" s="19">
        <f t="shared" si="3"/>
        <v>1</v>
      </c>
      <c r="K16" s="60">
        <f t="shared" si="16"/>
        <v>46357</v>
      </c>
      <c r="L16" s="61">
        <f t="shared" si="17"/>
        <v>30</v>
      </c>
      <c r="M16" s="133">
        <f ca="1">IF(OR(F16&gt;$C$15, F16=0),0, 1*(1/(1+$C$30)^SUM(OFFSET($L$8, IF(F16=0, 1, 0), 0):L16)))*J16</f>
        <v>0.91861385025327169</v>
      </c>
      <c r="N16" s="121">
        <f t="shared" ca="1" si="19"/>
        <v>10337.403503012369</v>
      </c>
      <c r="O16" s="63">
        <f t="shared" ca="1" si="4"/>
        <v>148.74413623527795</v>
      </c>
      <c r="P16" s="63">
        <f t="shared" ca="1" si="5"/>
        <v>98.09</v>
      </c>
      <c r="Q16" s="63">
        <f t="shared" ca="1" si="6"/>
        <v>7.755863764722049</v>
      </c>
      <c r="R16" s="132">
        <f t="shared" ca="1" si="7"/>
        <v>254.59</v>
      </c>
      <c r="S16" s="63">
        <f t="shared" si="8"/>
        <v>0</v>
      </c>
      <c r="T16" s="62">
        <f t="shared" ca="1" si="9"/>
        <v>254.59</v>
      </c>
      <c r="U16" s="65">
        <f t="shared" si="10"/>
        <v>0</v>
      </c>
      <c r="V16" s="65">
        <f t="shared" si="11"/>
        <v>0</v>
      </c>
      <c r="W16" s="65">
        <f t="shared" si="12"/>
        <v>0</v>
      </c>
      <c r="X16" s="43">
        <v>0</v>
      </c>
      <c r="Y16" s="65">
        <f t="shared" ca="1" si="13"/>
        <v>254.59</v>
      </c>
      <c r="AA16" s="55">
        <f t="shared" si="14"/>
        <v>8</v>
      </c>
      <c r="AB16" s="54">
        <f t="shared" ca="1" si="15"/>
        <v>-254.59</v>
      </c>
    </row>
    <row r="17" spans="2:30" ht="20.149999999999999" customHeight="1" x14ac:dyDescent="0.35">
      <c r="B17" s="56" t="s">
        <v>110</v>
      </c>
      <c r="C17" s="108">
        <f>+SIMULADOR_!G11</f>
        <v>46107</v>
      </c>
      <c r="D17" s="57"/>
      <c r="E17" s="34">
        <v>10</v>
      </c>
      <c r="F17" s="150">
        <f t="shared" si="1"/>
        <v>9</v>
      </c>
      <c r="G17" s="58">
        <f t="shared" si="18"/>
        <v>1</v>
      </c>
      <c r="H17" s="58">
        <f t="shared" si="2"/>
        <v>1</v>
      </c>
      <c r="I17" s="59">
        <f t="shared" si="0"/>
        <v>2027</v>
      </c>
      <c r="J17" s="19">
        <f t="shared" si="3"/>
        <v>1</v>
      </c>
      <c r="K17" s="60">
        <f t="shared" si="16"/>
        <v>46388</v>
      </c>
      <c r="L17" s="61">
        <f t="shared" si="17"/>
        <v>31</v>
      </c>
      <c r="M17" s="133">
        <f ca="1">IF(OR(F17&gt;$C$15, F17=0),0, 1*(1/(1+$C$30)^SUM(OFFSET($L$8, IF(F17=0, 1, 0), 0):L17)))*J17</f>
        <v>0.90899496951049574</v>
      </c>
      <c r="N17" s="121">
        <f t="shared" ca="1" si="19"/>
        <v>10188.65936677709</v>
      </c>
      <c r="O17" s="63">
        <f t="shared" ca="1" si="4"/>
        <v>146.77082719590607</v>
      </c>
      <c r="P17" s="63">
        <f t="shared" ca="1" si="5"/>
        <v>99.92</v>
      </c>
      <c r="Q17" s="63">
        <f t="shared" ca="1" si="6"/>
        <v>7.8991728040939631</v>
      </c>
      <c r="R17" s="132">
        <f t="shared" ca="1" si="7"/>
        <v>254.59</v>
      </c>
      <c r="S17" s="63">
        <f t="shared" si="8"/>
        <v>0</v>
      </c>
      <c r="T17" s="62">
        <f t="shared" ca="1" si="9"/>
        <v>254.59000000000003</v>
      </c>
      <c r="U17" s="65">
        <f t="shared" si="10"/>
        <v>0</v>
      </c>
      <c r="V17" s="65">
        <f t="shared" si="11"/>
        <v>0</v>
      </c>
      <c r="W17" s="65">
        <f t="shared" si="12"/>
        <v>0</v>
      </c>
      <c r="X17" s="43">
        <v>0</v>
      </c>
      <c r="Y17" s="65">
        <f t="shared" ca="1" si="13"/>
        <v>254.59</v>
      </c>
      <c r="AA17" s="55">
        <f t="shared" si="14"/>
        <v>9</v>
      </c>
      <c r="AB17" s="54">
        <f t="shared" ca="1" si="15"/>
        <v>-254.59000000000003</v>
      </c>
    </row>
    <row r="18" spans="2:30" ht="20.149999999999999" customHeight="1" x14ac:dyDescent="0.35">
      <c r="B18" s="56" t="s">
        <v>111</v>
      </c>
      <c r="C18" s="109">
        <f>+SIMULADOR_!G19</f>
        <v>1</v>
      </c>
      <c r="D18" s="57"/>
      <c r="E18" s="34">
        <v>11</v>
      </c>
      <c r="F18" s="150">
        <f t="shared" si="1"/>
        <v>10</v>
      </c>
      <c r="G18" s="58">
        <f t="shared" si="18"/>
        <v>1</v>
      </c>
      <c r="H18" s="58">
        <f t="shared" si="2"/>
        <v>2</v>
      </c>
      <c r="I18" s="59">
        <f t="shared" si="0"/>
        <v>2027</v>
      </c>
      <c r="J18" s="19">
        <f t="shared" si="3"/>
        <v>1</v>
      </c>
      <c r="K18" s="60">
        <f t="shared" si="16"/>
        <v>46419</v>
      </c>
      <c r="L18" s="61">
        <f t="shared" si="17"/>
        <v>31</v>
      </c>
      <c r="M18" s="133">
        <f ca="1">IF(OR(F18&gt;$C$15, F18=0),0, 1*(1/(1+$C$30)^SUM(OFFSET($L$8, IF(F18=0, 1, 0), 0):L18)))*J18</f>
        <v>0.89947680885453152</v>
      </c>
      <c r="N18" s="121">
        <f t="shared" ca="1" si="19"/>
        <v>10041.888539581185</v>
      </c>
      <c r="O18" s="63">
        <f t="shared" ca="1" si="4"/>
        <v>148.32461725256459</v>
      </c>
      <c r="P18" s="63">
        <f t="shared" ca="1" si="5"/>
        <v>98.48</v>
      </c>
      <c r="Q18" s="63">
        <f t="shared" ca="1" si="6"/>
        <v>7.7853827474354089</v>
      </c>
      <c r="R18" s="132">
        <f t="shared" ca="1" si="7"/>
        <v>254.59</v>
      </c>
      <c r="S18" s="63">
        <f t="shared" si="8"/>
        <v>0</v>
      </c>
      <c r="T18" s="62">
        <f t="shared" ca="1" si="9"/>
        <v>254.59</v>
      </c>
      <c r="U18" s="65">
        <f t="shared" si="10"/>
        <v>0</v>
      </c>
      <c r="V18" s="65">
        <f t="shared" si="11"/>
        <v>0</v>
      </c>
      <c r="W18" s="65">
        <f t="shared" si="12"/>
        <v>0</v>
      </c>
      <c r="X18" s="43">
        <v>0</v>
      </c>
      <c r="Y18" s="65">
        <f t="shared" ca="1" si="13"/>
        <v>254.59000000000003</v>
      </c>
      <c r="AA18" s="55">
        <f t="shared" si="14"/>
        <v>10</v>
      </c>
      <c r="AB18" s="54">
        <f t="shared" ca="1" si="15"/>
        <v>-254.59</v>
      </c>
    </row>
    <row r="19" spans="2:30" ht="20.149999999999999" customHeight="1" x14ac:dyDescent="0.35">
      <c r="B19" s="56" t="s">
        <v>112</v>
      </c>
      <c r="C19" s="108">
        <f>+IF(C16=0,IF(VALUE(DATE(YEAR(C17),MONTH(C17)+1,C18)-C17)&lt;30,DATE(YEAR(C17),MONTH(C17)+2,C18),DATE(YEAR(C17),MONTH(C17)+1,C18)),IF(VALUE(DATE(YEAR(C17),MONTH(C17)+1,C18)-C17)&lt;30,DATE(YEAR(C17),MONTH(C17)+2+C16,C18),DATE(YEAR(C17),MONTH(C17)+1+C16,C18)))</f>
        <v>46143</v>
      </c>
      <c r="D19" s="57"/>
      <c r="E19" s="34">
        <v>12</v>
      </c>
      <c r="F19" s="150">
        <f t="shared" si="1"/>
        <v>11</v>
      </c>
      <c r="G19" s="58">
        <f t="shared" si="18"/>
        <v>1</v>
      </c>
      <c r="H19" s="58">
        <f t="shared" si="2"/>
        <v>3</v>
      </c>
      <c r="I19" s="59">
        <f t="shared" si="0"/>
        <v>2027</v>
      </c>
      <c r="J19" s="19">
        <f t="shared" si="3"/>
        <v>1</v>
      </c>
      <c r="K19" s="60">
        <f t="shared" si="16"/>
        <v>46447</v>
      </c>
      <c r="L19" s="61">
        <f t="shared" si="17"/>
        <v>28</v>
      </c>
      <c r="M19" s="133">
        <f ca="1">IF(OR(F19&gt;$C$15, F19=0),0, 1*(1/(1+$C$30)^SUM(OFFSET($L$8, IF(F19=0, 1, 0), 0):L19)))*J19</f>
        <v>0.8909654541095513</v>
      </c>
      <c r="N19" s="121">
        <f t="shared" ca="1" si="19"/>
        <v>9893.5639223286198</v>
      </c>
      <c r="O19" s="63">
        <f t="shared" ca="1" si="4"/>
        <v>160.07216739339032</v>
      </c>
      <c r="P19" s="63">
        <f t="shared" ca="1" si="5"/>
        <v>87.59</v>
      </c>
      <c r="Q19" s="63">
        <f t="shared" ca="1" si="6"/>
        <v>6.927832606609674</v>
      </c>
      <c r="R19" s="132">
        <f t="shared" ca="1" si="7"/>
        <v>254.59</v>
      </c>
      <c r="S19" s="63">
        <f t="shared" si="8"/>
        <v>0</v>
      </c>
      <c r="T19" s="62">
        <f t="shared" ca="1" si="9"/>
        <v>254.59</v>
      </c>
      <c r="U19" s="65">
        <f t="shared" si="10"/>
        <v>0</v>
      </c>
      <c r="V19" s="65">
        <f t="shared" si="11"/>
        <v>0</v>
      </c>
      <c r="W19" s="65">
        <f t="shared" si="12"/>
        <v>0</v>
      </c>
      <c r="X19" s="43">
        <v>0</v>
      </c>
      <c r="Y19" s="65">
        <f t="shared" ca="1" si="13"/>
        <v>254.59</v>
      </c>
      <c r="AA19" s="55">
        <f t="shared" si="14"/>
        <v>11</v>
      </c>
      <c r="AB19" s="54">
        <f t="shared" ca="1" si="15"/>
        <v>-254.59</v>
      </c>
    </row>
    <row r="20" spans="2:30" ht="20.149999999999999" customHeight="1" x14ac:dyDescent="0.35">
      <c r="B20" s="146">
        <f>+$C$19-$C$21</f>
        <v>36</v>
      </c>
      <c r="C20" s="120">
        <f>+DATE(YEAR(C17),MONTH(C17)+1,C18)</f>
        <v>46113</v>
      </c>
      <c r="D20" s="57"/>
      <c r="E20" s="34">
        <v>13</v>
      </c>
      <c r="F20" s="150">
        <f t="shared" si="1"/>
        <v>12</v>
      </c>
      <c r="G20" s="58">
        <f t="shared" si="18"/>
        <v>1</v>
      </c>
      <c r="H20" s="58">
        <f t="shared" si="2"/>
        <v>4</v>
      </c>
      <c r="I20" s="59">
        <f t="shared" si="0"/>
        <v>2027</v>
      </c>
      <c r="J20" s="19">
        <f t="shared" si="3"/>
        <v>1</v>
      </c>
      <c r="K20" s="60">
        <f t="shared" si="16"/>
        <v>46478</v>
      </c>
      <c r="L20" s="61">
        <f t="shared" si="17"/>
        <v>31</v>
      </c>
      <c r="M20" s="133">
        <f ca="1">IF(OR(F20&gt;$C$15, F20=0),0, 1*(1/(1+$C$30)^SUM(OFFSET($L$8, IF(F20=0, 1, 0), 0):L20)))*J20</f>
        <v>0.8816360819836575</v>
      </c>
      <c r="N20" s="121">
        <f t="shared" ca="1" si="19"/>
        <v>9733.4917549352303</v>
      </c>
      <c r="O20" s="63">
        <f t="shared" ca="1" si="4"/>
        <v>151.5937144101444</v>
      </c>
      <c r="P20" s="63">
        <f t="shared" ca="1" si="5"/>
        <v>95.45</v>
      </c>
      <c r="Q20" s="63">
        <f t="shared" ca="1" si="6"/>
        <v>7.5462855898555956</v>
      </c>
      <c r="R20" s="132">
        <f t="shared" ca="1" si="7"/>
        <v>254.59</v>
      </c>
      <c r="S20" s="63">
        <f t="shared" si="8"/>
        <v>0</v>
      </c>
      <c r="T20" s="62">
        <f t="shared" ca="1" si="9"/>
        <v>254.58999999999997</v>
      </c>
      <c r="U20" s="65">
        <f t="shared" si="10"/>
        <v>0</v>
      </c>
      <c r="V20" s="65">
        <f t="shared" si="11"/>
        <v>0</v>
      </c>
      <c r="W20" s="65">
        <f t="shared" si="12"/>
        <v>0</v>
      </c>
      <c r="X20" s="43">
        <v>0</v>
      </c>
      <c r="Y20" s="65">
        <f t="shared" ca="1" si="13"/>
        <v>254.59</v>
      </c>
      <c r="AA20" s="55">
        <f t="shared" si="14"/>
        <v>12</v>
      </c>
      <c r="AB20" s="54">
        <f t="shared" ca="1" si="15"/>
        <v>-254.58999999999997</v>
      </c>
    </row>
    <row r="21" spans="2:30" ht="20.149999999999999" customHeight="1" x14ac:dyDescent="0.35">
      <c r="B21" s="67"/>
      <c r="C21" s="118">
        <f>+C17+30*$C$16</f>
        <v>46107</v>
      </c>
      <c r="D21" s="57"/>
      <c r="E21" s="34">
        <v>14</v>
      </c>
      <c r="F21" s="150">
        <f t="shared" si="1"/>
        <v>13</v>
      </c>
      <c r="G21" s="58">
        <f t="shared" si="18"/>
        <v>1</v>
      </c>
      <c r="H21" s="58">
        <f t="shared" si="2"/>
        <v>5</v>
      </c>
      <c r="I21" s="59">
        <f t="shared" si="0"/>
        <v>2027</v>
      </c>
      <c r="J21" s="19">
        <f t="shared" si="3"/>
        <v>1</v>
      </c>
      <c r="K21" s="60">
        <f t="shared" si="16"/>
        <v>46508</v>
      </c>
      <c r="L21" s="61">
        <f t="shared" si="17"/>
        <v>30</v>
      </c>
      <c r="M21" s="133">
        <f ca="1">IF(OR(F21&gt;$C$15, F21=0),0, 1*(1/(1+$C$30)^SUM(OFFSET($L$8, IF(F21=0, 1, 0), 0):L21)))*J21</f>
        <v>0.87270068042293569</v>
      </c>
      <c r="N21" s="121">
        <f t="shared" ca="1" si="19"/>
        <v>9581.8980405250859</v>
      </c>
      <c r="O21" s="63">
        <f t="shared" ca="1" si="4"/>
        <v>156.4809707831262</v>
      </c>
      <c r="P21" s="63">
        <f t="shared" ca="1" si="5"/>
        <v>90.92</v>
      </c>
      <c r="Q21" s="63">
        <f t="shared" ca="1" si="6"/>
        <v>7.1890292168738226</v>
      </c>
      <c r="R21" s="132">
        <f t="shared" ca="1" si="7"/>
        <v>254.59</v>
      </c>
      <c r="S21" s="63">
        <f t="shared" si="8"/>
        <v>0</v>
      </c>
      <c r="T21" s="62">
        <f t="shared" ca="1" si="9"/>
        <v>254.59</v>
      </c>
      <c r="U21" s="65">
        <f t="shared" si="10"/>
        <v>0</v>
      </c>
      <c r="V21" s="65">
        <f t="shared" si="11"/>
        <v>0</v>
      </c>
      <c r="W21" s="65">
        <f t="shared" si="12"/>
        <v>0</v>
      </c>
      <c r="X21" s="43">
        <v>0</v>
      </c>
      <c r="Y21" s="65">
        <f t="shared" ca="1" si="13"/>
        <v>254.58999999999997</v>
      </c>
      <c r="AA21" s="55">
        <f t="shared" si="14"/>
        <v>13</v>
      </c>
      <c r="AB21" s="54">
        <f t="shared" ca="1" si="15"/>
        <v>-254.59</v>
      </c>
    </row>
    <row r="22" spans="2:30" ht="20.149999999999999" customHeight="1" x14ac:dyDescent="0.35">
      <c r="B22" s="68" t="s">
        <v>113</v>
      </c>
      <c r="C22" s="69" t="s">
        <v>56</v>
      </c>
      <c r="D22" s="57"/>
      <c r="E22" s="34">
        <v>15</v>
      </c>
      <c r="F22" s="150">
        <f t="shared" si="1"/>
        <v>14</v>
      </c>
      <c r="G22" s="58">
        <f t="shared" si="18"/>
        <v>1</v>
      </c>
      <c r="H22" s="58">
        <f t="shared" si="2"/>
        <v>6</v>
      </c>
      <c r="I22" s="59">
        <f t="shared" si="0"/>
        <v>2027</v>
      </c>
      <c r="J22" s="19">
        <f t="shared" si="3"/>
        <v>1</v>
      </c>
      <c r="K22" s="60">
        <f t="shared" si="16"/>
        <v>46539</v>
      </c>
      <c r="L22" s="61">
        <f t="shared" si="17"/>
        <v>31</v>
      </c>
      <c r="M22" s="133">
        <f ca="1">IF(OR(F22&gt;$C$15, F22=0),0, 1*(1/(1+$C$30)^SUM(OFFSET($L$8, IF(F22=0, 1, 0), 0):L22)))*J22</f>
        <v>0.86356256023585909</v>
      </c>
      <c r="N22" s="121">
        <f t="shared" ca="1" si="19"/>
        <v>9425.4170697419595</v>
      </c>
      <c r="O22" s="63">
        <f t="shared" ca="1" si="4"/>
        <v>154.85256184701561</v>
      </c>
      <c r="P22" s="63">
        <f t="shared" ca="1" si="5"/>
        <v>92.43</v>
      </c>
      <c r="Q22" s="63">
        <f t="shared" ca="1" si="6"/>
        <v>7.3074381529843908</v>
      </c>
      <c r="R22" s="132">
        <f t="shared" ca="1" si="7"/>
        <v>254.59</v>
      </c>
      <c r="S22" s="63">
        <f t="shared" si="8"/>
        <v>0</v>
      </c>
      <c r="T22" s="62">
        <f t="shared" ca="1" si="9"/>
        <v>254.59</v>
      </c>
      <c r="U22" s="65">
        <f t="shared" si="10"/>
        <v>0</v>
      </c>
      <c r="V22" s="65">
        <f t="shared" si="11"/>
        <v>0</v>
      </c>
      <c r="W22" s="65">
        <f t="shared" si="12"/>
        <v>0</v>
      </c>
      <c r="X22" s="43">
        <v>0</v>
      </c>
      <c r="Y22" s="65">
        <f t="shared" ca="1" si="13"/>
        <v>254.59</v>
      </c>
      <c r="AA22" s="55">
        <f t="shared" si="14"/>
        <v>14</v>
      </c>
      <c r="AB22" s="54">
        <f t="shared" ca="1" si="15"/>
        <v>-254.59</v>
      </c>
    </row>
    <row r="23" spans="2:30" ht="20.149999999999999" customHeight="1" x14ac:dyDescent="0.35">
      <c r="B23" s="70" t="s">
        <v>114</v>
      </c>
      <c r="C23" s="110"/>
      <c r="D23" s="57"/>
      <c r="E23" s="34">
        <v>16</v>
      </c>
      <c r="F23" s="150">
        <f t="shared" si="1"/>
        <v>15</v>
      </c>
      <c r="G23" s="58">
        <f t="shared" si="18"/>
        <v>1</v>
      </c>
      <c r="H23" s="58">
        <f t="shared" si="2"/>
        <v>7</v>
      </c>
      <c r="I23" s="59">
        <f t="shared" si="0"/>
        <v>2027</v>
      </c>
      <c r="J23" s="19">
        <f t="shared" si="3"/>
        <v>1</v>
      </c>
      <c r="K23" s="60">
        <f t="shared" si="16"/>
        <v>46569</v>
      </c>
      <c r="L23" s="61">
        <f t="shared" si="17"/>
        <v>30</v>
      </c>
      <c r="M23" s="133">
        <f ca="1">IF(OR(F23&gt;$C$15, F23=0),0, 1*(1/(1+$C$30)^SUM(OFFSET($L$8, IF(F23=0, 1, 0), 0):L23)))*J23</f>
        <v>0.85481033422538222</v>
      </c>
      <c r="N23" s="121">
        <f t="shared" ca="1" si="19"/>
        <v>9270.5645078949437</v>
      </c>
      <c r="O23" s="63">
        <f t="shared" ca="1" si="4"/>
        <v>159.66455559615639</v>
      </c>
      <c r="P23" s="63">
        <f t="shared" ca="1" si="5"/>
        <v>87.97</v>
      </c>
      <c r="Q23" s="63">
        <f t="shared" ca="1" si="6"/>
        <v>6.9554444038436083</v>
      </c>
      <c r="R23" s="132">
        <f t="shared" ca="1" si="7"/>
        <v>254.59</v>
      </c>
      <c r="S23" s="63">
        <f t="shared" si="8"/>
        <v>0</v>
      </c>
      <c r="T23" s="62">
        <f t="shared" ca="1" si="9"/>
        <v>254.59</v>
      </c>
      <c r="U23" s="65">
        <f t="shared" si="10"/>
        <v>0</v>
      </c>
      <c r="V23" s="65">
        <f t="shared" si="11"/>
        <v>0</v>
      </c>
      <c r="W23" s="65">
        <f t="shared" si="12"/>
        <v>0</v>
      </c>
      <c r="X23" s="43">
        <v>0</v>
      </c>
      <c r="Y23" s="65">
        <f t="shared" ca="1" si="13"/>
        <v>254.59</v>
      </c>
      <c r="AA23" s="55">
        <f t="shared" si="14"/>
        <v>15</v>
      </c>
      <c r="AB23" s="54">
        <f t="shared" ca="1" si="15"/>
        <v>-254.59</v>
      </c>
    </row>
    <row r="24" spans="2:30" ht="20.149999999999999" customHeight="1" x14ac:dyDescent="0.35">
      <c r="B24" s="70" t="s">
        <v>115</v>
      </c>
      <c r="C24" s="111">
        <f>+SIMULADOR_!G27</f>
        <v>7.5000000000000002E-4</v>
      </c>
      <c r="D24" s="57"/>
      <c r="E24" s="34">
        <v>17</v>
      </c>
      <c r="F24" s="150">
        <f t="shared" si="1"/>
        <v>16</v>
      </c>
      <c r="G24" s="58">
        <f t="shared" si="18"/>
        <v>1</v>
      </c>
      <c r="H24" s="58">
        <f t="shared" si="2"/>
        <v>8</v>
      </c>
      <c r="I24" s="59">
        <f t="shared" si="0"/>
        <v>2027</v>
      </c>
      <c r="J24" s="19">
        <f t="shared" si="3"/>
        <v>1</v>
      </c>
      <c r="K24" s="60">
        <f t="shared" si="16"/>
        <v>46600</v>
      </c>
      <c r="L24" s="61">
        <f t="shared" si="17"/>
        <v>31</v>
      </c>
      <c r="M24" s="133">
        <f ca="1">IF(OR(F24&gt;$C$15, F24=0),0, 1*(1/(1+$C$30)^SUM(OFFSET($L$8, IF(F24=0, 1, 0), 0):L24)))*J24</f>
        <v>0.84585954531626728</v>
      </c>
      <c r="N24" s="121">
        <f t="shared" ca="1" si="19"/>
        <v>9110.899952298787</v>
      </c>
      <c r="O24" s="63">
        <f t="shared" ca="1" si="4"/>
        <v>158.17640404166491</v>
      </c>
      <c r="P24" s="63">
        <f t="shared" ca="1" si="5"/>
        <v>89.35</v>
      </c>
      <c r="Q24" s="63">
        <f t="shared" ca="1" si="6"/>
        <v>7.0635959583350854</v>
      </c>
      <c r="R24" s="132">
        <f t="shared" ca="1" si="7"/>
        <v>254.59</v>
      </c>
      <c r="S24" s="63">
        <f t="shared" si="8"/>
        <v>0</v>
      </c>
      <c r="T24" s="62">
        <f t="shared" ca="1" si="9"/>
        <v>254.58999999999997</v>
      </c>
      <c r="U24" s="65">
        <f t="shared" si="10"/>
        <v>0</v>
      </c>
      <c r="V24" s="65">
        <f t="shared" si="11"/>
        <v>0</v>
      </c>
      <c r="W24" s="65">
        <f t="shared" si="12"/>
        <v>0</v>
      </c>
      <c r="X24" s="43">
        <v>0</v>
      </c>
      <c r="Y24" s="65">
        <f t="shared" ca="1" si="13"/>
        <v>254.59</v>
      </c>
      <c r="AA24" s="55">
        <f t="shared" si="14"/>
        <v>16</v>
      </c>
      <c r="AB24" s="54">
        <f t="shared" ca="1" si="15"/>
        <v>-254.58999999999997</v>
      </c>
    </row>
    <row r="25" spans="2:30" ht="20.149999999999999" customHeight="1" x14ac:dyDescent="0.35">
      <c r="B25" s="207" t="s">
        <v>116</v>
      </c>
      <c r="C25" s="207"/>
      <c r="D25" s="57"/>
      <c r="E25" s="34">
        <v>18</v>
      </c>
      <c r="F25" s="150">
        <f t="shared" si="1"/>
        <v>17</v>
      </c>
      <c r="G25" s="58">
        <f t="shared" si="18"/>
        <v>1</v>
      </c>
      <c r="H25" s="58">
        <f t="shared" si="2"/>
        <v>9</v>
      </c>
      <c r="I25" s="59">
        <f t="shared" si="0"/>
        <v>2027</v>
      </c>
      <c r="J25" s="19">
        <f t="shared" si="3"/>
        <v>1</v>
      </c>
      <c r="K25" s="60">
        <f t="shared" si="16"/>
        <v>46631</v>
      </c>
      <c r="L25" s="61">
        <f t="shared" si="17"/>
        <v>31</v>
      </c>
      <c r="M25" s="133">
        <f ca="1">IF(OR(F25&gt;$C$15, F25=0),0, 1*(1/(1+$C$30)^SUM(OFFSET($L$8, IF(F25=0, 1, 0), 0):L25)))*J25</f>
        <v>0.8370024808497426</v>
      </c>
      <c r="N25" s="121">
        <f t="shared" ca="1" si="19"/>
        <v>8952.7235482571214</v>
      </c>
      <c r="O25" s="63">
        <f t="shared" ca="1" si="4"/>
        <v>159.84903673592592</v>
      </c>
      <c r="P25" s="63">
        <f t="shared" ca="1" si="5"/>
        <v>87.8</v>
      </c>
      <c r="Q25" s="63">
        <f t="shared" ca="1" si="6"/>
        <v>6.9409632640740995</v>
      </c>
      <c r="R25" s="132">
        <f t="shared" ca="1" si="7"/>
        <v>254.59</v>
      </c>
      <c r="S25" s="63">
        <f t="shared" si="8"/>
        <v>0</v>
      </c>
      <c r="T25" s="62">
        <f t="shared" ca="1" si="9"/>
        <v>254.59</v>
      </c>
      <c r="U25" s="65">
        <f t="shared" si="10"/>
        <v>0</v>
      </c>
      <c r="V25" s="65">
        <f t="shared" si="11"/>
        <v>0</v>
      </c>
      <c r="W25" s="65">
        <f t="shared" si="12"/>
        <v>0</v>
      </c>
      <c r="X25" s="43">
        <v>0</v>
      </c>
      <c r="Y25" s="65">
        <f t="shared" ca="1" si="13"/>
        <v>254.58999999999997</v>
      </c>
      <c r="AA25" s="55">
        <f t="shared" si="14"/>
        <v>17</v>
      </c>
      <c r="AB25" s="54">
        <f t="shared" ca="1" si="15"/>
        <v>-254.59</v>
      </c>
    </row>
    <row r="26" spans="2:30" ht="20.149999999999999" customHeight="1" x14ac:dyDescent="0.35">
      <c r="B26" s="208"/>
      <c r="C26" s="208"/>
      <c r="D26" s="57"/>
      <c r="E26" s="34">
        <v>19</v>
      </c>
      <c r="F26" s="150">
        <f t="shared" si="1"/>
        <v>18</v>
      </c>
      <c r="G26" s="58">
        <f t="shared" si="18"/>
        <v>1</v>
      </c>
      <c r="H26" s="58">
        <f t="shared" si="2"/>
        <v>10</v>
      </c>
      <c r="I26" s="59">
        <f t="shared" si="0"/>
        <v>2027</v>
      </c>
      <c r="J26" s="19">
        <f t="shared" si="3"/>
        <v>1</v>
      </c>
      <c r="K26" s="60">
        <f t="shared" si="16"/>
        <v>46661</v>
      </c>
      <c r="L26" s="61">
        <f t="shared" si="17"/>
        <v>30</v>
      </c>
      <c r="M26" s="133">
        <f ca="1">IF(OR(F26&gt;$C$15, F26=0),0, 1*(1/(1+$C$30)^SUM(OFFSET($L$8, IF(F26=0, 1, 0), 0):L26)))*J26</f>
        <v>0.82851944184244009</v>
      </c>
      <c r="N26" s="121">
        <f t="shared" ca="1" si="19"/>
        <v>8792.874511521195</v>
      </c>
      <c r="O26" s="63">
        <f t="shared" ca="1" si="4"/>
        <v>164.56295299571283</v>
      </c>
      <c r="P26" s="63">
        <f t="shared" ca="1" si="5"/>
        <v>83.43</v>
      </c>
      <c r="Q26" s="63">
        <f t="shared" ca="1" si="6"/>
        <v>6.5970470042871581</v>
      </c>
      <c r="R26" s="132">
        <f t="shared" ca="1" si="7"/>
        <v>254.59</v>
      </c>
      <c r="S26" s="63">
        <f t="shared" si="8"/>
        <v>0</v>
      </c>
      <c r="T26" s="62">
        <f t="shared" ca="1" si="9"/>
        <v>254.59</v>
      </c>
      <c r="U26" s="65">
        <f t="shared" si="10"/>
        <v>0</v>
      </c>
      <c r="V26" s="65">
        <f t="shared" si="11"/>
        <v>0</v>
      </c>
      <c r="W26" s="65">
        <f t="shared" si="12"/>
        <v>0</v>
      </c>
      <c r="X26" s="43">
        <v>0</v>
      </c>
      <c r="Y26" s="65">
        <f t="shared" ca="1" si="13"/>
        <v>254.59</v>
      </c>
      <c r="AA26" s="55">
        <f t="shared" si="14"/>
        <v>18</v>
      </c>
      <c r="AB26" s="54">
        <f t="shared" ca="1" si="15"/>
        <v>-254.59</v>
      </c>
    </row>
    <row r="27" spans="2:30" ht="20.149999999999999" customHeight="1" x14ac:dyDescent="0.35">
      <c r="B27" s="70" t="s">
        <v>117</v>
      </c>
      <c r="C27" s="111">
        <f>+C24/30</f>
        <v>2.5000000000000001E-5</v>
      </c>
      <c r="D27" s="57"/>
      <c r="E27" s="34">
        <v>20</v>
      </c>
      <c r="F27" s="150">
        <f t="shared" si="1"/>
        <v>19</v>
      </c>
      <c r="G27" s="58">
        <f t="shared" si="18"/>
        <v>1</v>
      </c>
      <c r="H27" s="58">
        <f t="shared" si="2"/>
        <v>11</v>
      </c>
      <c r="I27" s="59">
        <f t="shared" si="0"/>
        <v>2027</v>
      </c>
      <c r="J27" s="19">
        <f t="shared" si="3"/>
        <v>1</v>
      </c>
      <c r="K27" s="60">
        <f t="shared" si="16"/>
        <v>46692</v>
      </c>
      <c r="L27" s="61">
        <f t="shared" si="17"/>
        <v>31</v>
      </c>
      <c r="M27" s="133">
        <f ca="1">IF(OR(F27&gt;$C$15, F27=0),0, 1*(1/(1+$C$30)^SUM(OFFSET($L$8, IF(F27=0, 1, 0), 0):L27)))*J27</f>
        <v>0.81984394701732255</v>
      </c>
      <c r="N27" s="121">
        <f ca="1">IF(N26-O26&lt;0.0000001,0,N26-O26)</f>
        <v>8628.3115585254818</v>
      </c>
      <c r="O27" s="63">
        <f t="shared" ca="1" si="4"/>
        <v>163.29055033299113</v>
      </c>
      <c r="P27" s="63">
        <f t="shared" ca="1" si="5"/>
        <v>84.61</v>
      </c>
      <c r="Q27" s="63">
        <f t="shared" ca="1" si="6"/>
        <v>6.6894496670088968</v>
      </c>
      <c r="R27" s="132">
        <f t="shared" ca="1" si="7"/>
        <v>254.59</v>
      </c>
      <c r="S27" s="63">
        <f t="shared" si="8"/>
        <v>0</v>
      </c>
      <c r="T27" s="62">
        <f ca="1">IF(F27=0,0,O27+P27+Q27+S27)</f>
        <v>254.59000000000003</v>
      </c>
      <c r="U27" s="65">
        <f t="shared" si="10"/>
        <v>0</v>
      </c>
      <c r="V27" s="65">
        <f t="shared" si="11"/>
        <v>0</v>
      </c>
      <c r="W27" s="65">
        <f t="shared" si="12"/>
        <v>0</v>
      </c>
      <c r="X27" s="43">
        <v>0</v>
      </c>
      <c r="Y27" s="65">
        <f t="shared" ca="1" si="13"/>
        <v>254.59</v>
      </c>
      <c r="AA27" s="55">
        <f t="shared" si="14"/>
        <v>19</v>
      </c>
      <c r="AB27" s="54">
        <f ca="1">IF(T27=0, "", -T27)</f>
        <v>-254.59000000000003</v>
      </c>
      <c r="AC27" s="136"/>
    </row>
    <row r="28" spans="2:30" ht="20.149999999999999" customHeight="1" x14ac:dyDescent="0.35">
      <c r="B28"/>
      <c r="C28" s="19"/>
      <c r="D28" s="57"/>
      <c r="E28" s="34">
        <v>21</v>
      </c>
      <c r="F28" s="150">
        <f t="shared" si="1"/>
        <v>20</v>
      </c>
      <c r="G28" s="58">
        <f t="shared" si="18"/>
        <v>1</v>
      </c>
      <c r="H28" s="58">
        <f t="shared" si="2"/>
        <v>12</v>
      </c>
      <c r="I28" s="59">
        <f t="shared" si="0"/>
        <v>2027</v>
      </c>
      <c r="J28" s="19">
        <f t="shared" si="3"/>
        <v>1</v>
      </c>
      <c r="K28" s="60">
        <f t="shared" si="16"/>
        <v>46722</v>
      </c>
      <c r="L28" s="61">
        <f t="shared" si="17"/>
        <v>30</v>
      </c>
      <c r="M28" s="133">
        <f ca="1">IF(OR(F28&gt;$C$15, F28=0),0, 1*(1/(1+$C$30)^SUM(OFFSET($L$8, IF(F28=0, 1, 0), 0):L28)))*J28</f>
        <v>0.81153481013712103</v>
      </c>
      <c r="N28" s="121">
        <f t="shared" ca="1" si="19"/>
        <v>8465.0210081924906</v>
      </c>
      <c r="O28" s="63">
        <f t="shared" ca="1" si="4"/>
        <v>167.91893227918217</v>
      </c>
      <c r="P28" s="63">
        <f t="shared" ca="1" si="5"/>
        <v>80.319999999999993</v>
      </c>
      <c r="Q28" s="63">
        <f t="shared" ca="1" si="6"/>
        <v>6.3510677208178326</v>
      </c>
      <c r="R28" s="132">
        <f t="shared" ca="1" si="7"/>
        <v>254.59</v>
      </c>
      <c r="S28" s="63">
        <f t="shared" si="8"/>
        <v>0</v>
      </c>
      <c r="T28" s="62">
        <f t="shared" ca="1" si="9"/>
        <v>254.59</v>
      </c>
      <c r="U28" s="65">
        <f t="shared" si="10"/>
        <v>0</v>
      </c>
      <c r="V28" s="65">
        <f t="shared" si="11"/>
        <v>0</v>
      </c>
      <c r="W28" s="65">
        <f t="shared" si="12"/>
        <v>0</v>
      </c>
      <c r="X28" s="43">
        <v>0</v>
      </c>
      <c r="Y28" s="65">
        <f t="shared" ca="1" si="13"/>
        <v>254.59000000000003</v>
      </c>
      <c r="AA28" s="55">
        <f t="shared" si="14"/>
        <v>20</v>
      </c>
      <c r="AB28" s="54">
        <f t="shared" ca="1" si="15"/>
        <v>-254.59</v>
      </c>
    </row>
    <row r="29" spans="2:30" ht="20.149999999999999" customHeight="1" x14ac:dyDescent="0.35">
      <c r="B29" s="56" t="s">
        <v>106</v>
      </c>
      <c r="C29" s="105">
        <f>+C12+C24</f>
        <v>1.0238792934583046E-2</v>
      </c>
      <c r="D29" s="57"/>
      <c r="E29" s="34">
        <v>22</v>
      </c>
      <c r="F29" s="150">
        <f t="shared" si="1"/>
        <v>21</v>
      </c>
      <c r="G29" s="58">
        <f t="shared" si="18"/>
        <v>1</v>
      </c>
      <c r="H29" s="58">
        <f t="shared" si="2"/>
        <v>1</v>
      </c>
      <c r="I29" s="59">
        <f t="shared" si="0"/>
        <v>2028</v>
      </c>
      <c r="J29" s="19">
        <f t="shared" si="3"/>
        <v>1</v>
      </c>
      <c r="K29" s="60">
        <f t="shared" si="16"/>
        <v>46753</v>
      </c>
      <c r="L29" s="61">
        <f t="shared" si="17"/>
        <v>31</v>
      </c>
      <c r="M29" s="133">
        <f ca="1">IF(OR(F29&gt;$C$15, F29=0),0, 1*(1/(1+$C$30)^SUM(OFFSET($L$8, IF(F29=0, 1, 0), 0):L29)))*J29</f>
        <v>0.80303716277945492</v>
      </c>
      <c r="N29" s="121">
        <f t="shared" ca="1" si="19"/>
        <v>8297.102075913308</v>
      </c>
      <c r="O29" s="63">
        <f t="shared" ca="1" si="4"/>
        <v>166.78733396303758</v>
      </c>
      <c r="P29" s="63">
        <f t="shared" ca="1" si="5"/>
        <v>81.37</v>
      </c>
      <c r="Q29" s="63">
        <f t="shared" ca="1" si="6"/>
        <v>6.4326660369624138</v>
      </c>
      <c r="R29" s="132">
        <f t="shared" ca="1" si="7"/>
        <v>254.59</v>
      </c>
      <c r="S29" s="63">
        <f t="shared" si="8"/>
        <v>0</v>
      </c>
      <c r="T29" s="62">
        <f t="shared" ca="1" si="9"/>
        <v>254.59</v>
      </c>
      <c r="U29" s="65">
        <f t="shared" si="10"/>
        <v>0</v>
      </c>
      <c r="V29" s="65">
        <f t="shared" si="11"/>
        <v>0</v>
      </c>
      <c r="W29" s="65">
        <f t="shared" si="12"/>
        <v>0</v>
      </c>
      <c r="X29" s="43">
        <v>0</v>
      </c>
      <c r="Y29" s="65">
        <f t="shared" ca="1" si="13"/>
        <v>254.59</v>
      </c>
      <c r="AA29" s="55">
        <f t="shared" si="14"/>
        <v>21</v>
      </c>
      <c r="AB29" s="54">
        <f t="shared" ca="1" si="15"/>
        <v>-254.59</v>
      </c>
      <c r="AD29" s="136">
        <f ca="1">+O27-N27</f>
        <v>-8465.0210081924906</v>
      </c>
    </row>
    <row r="30" spans="2:30" ht="20.149999999999999" customHeight="1" x14ac:dyDescent="0.35">
      <c r="B30" s="56" t="s">
        <v>107</v>
      </c>
      <c r="C30" s="105">
        <f>+(1+C29)^(0.0333333333333333)-1</f>
        <v>3.396153747952102E-4</v>
      </c>
      <c r="D30" s="57"/>
      <c r="E30" s="34">
        <v>23</v>
      </c>
      <c r="F30" s="150">
        <f t="shared" si="1"/>
        <v>22</v>
      </c>
      <c r="G30" s="58">
        <f t="shared" si="18"/>
        <v>1</v>
      </c>
      <c r="H30" s="58">
        <f t="shared" si="2"/>
        <v>2</v>
      </c>
      <c r="I30" s="59">
        <f t="shared" si="0"/>
        <v>2028</v>
      </c>
      <c r="J30" s="19">
        <f t="shared" si="3"/>
        <v>1</v>
      </c>
      <c r="K30" s="60">
        <f t="shared" si="16"/>
        <v>46784</v>
      </c>
      <c r="L30" s="61">
        <f t="shared" si="17"/>
        <v>31</v>
      </c>
      <c r="M30" s="133">
        <f ca="1">IF(OR(F30&gt;$C$15, F30=0),0, 1*(1/(1+$C$30)^SUM(OFFSET($L$8, IF(F30=0, 1, 0), 0):L30)))*J30</f>
        <v>0.79462849498213939</v>
      </c>
      <c r="N30" s="121">
        <f t="shared" ca="1" si="19"/>
        <v>8130.3147419502702</v>
      </c>
      <c r="O30" s="63">
        <f t="shared" ca="1" si="4"/>
        <v>168.55664263114403</v>
      </c>
      <c r="P30" s="63">
        <f t="shared" ca="1" si="5"/>
        <v>79.73</v>
      </c>
      <c r="Q30" s="63">
        <f t="shared" ca="1" si="6"/>
        <v>6.3033573688559725</v>
      </c>
      <c r="R30" s="132">
        <f t="shared" ca="1" si="7"/>
        <v>254.59</v>
      </c>
      <c r="S30" s="63">
        <f t="shared" si="8"/>
        <v>0</v>
      </c>
      <c r="T30" s="62">
        <f t="shared" ca="1" si="9"/>
        <v>254.59000000000003</v>
      </c>
      <c r="U30" s="65">
        <f t="shared" si="10"/>
        <v>0</v>
      </c>
      <c r="V30" s="65">
        <f t="shared" si="11"/>
        <v>0</v>
      </c>
      <c r="W30" s="65">
        <f t="shared" si="12"/>
        <v>0</v>
      </c>
      <c r="X30" s="43">
        <v>0</v>
      </c>
      <c r="Y30" s="65">
        <f t="shared" ca="1" si="13"/>
        <v>254.59</v>
      </c>
      <c r="AA30" s="55">
        <f t="shared" si="14"/>
        <v>22</v>
      </c>
      <c r="AB30" s="54">
        <f t="shared" ca="1" si="15"/>
        <v>-254.59000000000003</v>
      </c>
    </row>
    <row r="31" spans="2:30" ht="20.149999999999999" customHeight="1" x14ac:dyDescent="0.35">
      <c r="B31"/>
      <c r="C31" s="19"/>
      <c r="D31" s="57"/>
      <c r="E31" s="34">
        <v>24</v>
      </c>
      <c r="F31" s="150">
        <f t="shared" si="1"/>
        <v>23</v>
      </c>
      <c r="G31" s="58">
        <f t="shared" si="18"/>
        <v>1</v>
      </c>
      <c r="H31" s="58">
        <f t="shared" si="2"/>
        <v>3</v>
      </c>
      <c r="I31" s="59">
        <f t="shared" si="0"/>
        <v>2028</v>
      </c>
      <c r="J31" s="19">
        <f t="shared" si="3"/>
        <v>1</v>
      </c>
      <c r="K31" s="60">
        <f t="shared" si="16"/>
        <v>46813</v>
      </c>
      <c r="L31" s="61">
        <f t="shared" si="17"/>
        <v>29</v>
      </c>
      <c r="M31" s="133">
        <f ca="1">IF(OR(F31&gt;$C$15, F31=0),0, 1*(1/(1+$C$30)^SUM(OFFSET($L$8, IF(F31=0, 1, 0), 0):L31)))*J31</f>
        <v>0.78684205021194153</v>
      </c>
      <c r="N31" s="121">
        <f t="shared" ca="1" si="19"/>
        <v>7961.7580993191259</v>
      </c>
      <c r="O31" s="63">
        <f t="shared" ca="1" si="4"/>
        <v>175.79570462723936</v>
      </c>
      <c r="P31" s="63">
        <f t="shared" ca="1" si="5"/>
        <v>73.02</v>
      </c>
      <c r="Q31" s="63">
        <f t="shared" ca="1" si="6"/>
        <v>5.774295372760621</v>
      </c>
      <c r="R31" s="132">
        <f t="shared" ca="1" si="7"/>
        <v>254.59</v>
      </c>
      <c r="S31" s="63">
        <f t="shared" si="8"/>
        <v>0</v>
      </c>
      <c r="T31" s="62">
        <f t="shared" ca="1" si="9"/>
        <v>254.59</v>
      </c>
      <c r="U31" s="65">
        <f t="shared" si="10"/>
        <v>0</v>
      </c>
      <c r="V31" s="65">
        <f t="shared" si="11"/>
        <v>0</v>
      </c>
      <c r="W31" s="65">
        <f t="shared" si="12"/>
        <v>0</v>
      </c>
      <c r="X31" s="43">
        <v>0</v>
      </c>
      <c r="Y31" s="65">
        <f t="shared" ca="1" si="13"/>
        <v>254.59000000000003</v>
      </c>
      <c r="AA31" s="55">
        <f t="shared" si="14"/>
        <v>23</v>
      </c>
      <c r="AB31" s="54">
        <f t="shared" ca="1" si="15"/>
        <v>-254.59</v>
      </c>
    </row>
    <row r="32" spans="2:30" ht="20.149999999999999" customHeight="1" x14ac:dyDescent="0.35">
      <c r="B32" s="8">
        <f>+IF(C16=0,IF(VALUE(DATE(YEAR(C17),MONTH(C17)+1,C18)-C17)&lt;30,DATE(YEAR(C17),MONTH(C17)+2,C18),DATE(YEAR(C17),MONTH(C17)+1,C18)),DATE(YEAR(C17),MONTH(C17)+C16,C18))</f>
        <v>46143</v>
      </c>
      <c r="C32" s="131"/>
      <c r="D32" s="57"/>
      <c r="E32" s="34">
        <v>25</v>
      </c>
      <c r="F32" s="150">
        <f t="shared" si="1"/>
        <v>24</v>
      </c>
      <c r="G32" s="58">
        <f t="shared" si="18"/>
        <v>1</v>
      </c>
      <c r="H32" s="58">
        <f t="shared" si="2"/>
        <v>4</v>
      </c>
      <c r="I32" s="59">
        <f t="shared" si="0"/>
        <v>2028</v>
      </c>
      <c r="J32" s="19">
        <f t="shared" si="3"/>
        <v>1</v>
      </c>
      <c r="K32" s="60">
        <f t="shared" si="16"/>
        <v>46844</v>
      </c>
      <c r="L32" s="61">
        <f t="shared" si="17"/>
        <v>31</v>
      </c>
      <c r="M32" s="133">
        <f ca="1">IF(OR(F32&gt;$C$15, F32=0),0, 1*(1/(1+$C$30)^SUM(OFFSET($L$8, IF(F32=0, 1, 0), 0):L32)))*J32</f>
        <v>0.77860296276262519</v>
      </c>
      <c r="N32" s="121">
        <f t="shared" ca="1" si="19"/>
        <v>7785.9623946918864</v>
      </c>
      <c r="O32" s="63">
        <f t="shared" ca="1" si="4"/>
        <v>172.2036158018596</v>
      </c>
      <c r="P32" s="63">
        <f t="shared" ca="1" si="5"/>
        <v>76.349999999999994</v>
      </c>
      <c r="Q32" s="63">
        <f t="shared" ca="1" si="6"/>
        <v>6.0363841981404054</v>
      </c>
      <c r="R32" s="132">
        <f t="shared" ca="1" si="7"/>
        <v>254.59</v>
      </c>
      <c r="S32" s="63">
        <f t="shared" si="8"/>
        <v>0</v>
      </c>
      <c r="T32" s="62">
        <f t="shared" ca="1" si="9"/>
        <v>254.59</v>
      </c>
      <c r="U32" s="65">
        <f t="shared" si="10"/>
        <v>0</v>
      </c>
      <c r="V32" s="65">
        <f t="shared" si="11"/>
        <v>0</v>
      </c>
      <c r="W32" s="65">
        <f t="shared" si="12"/>
        <v>0</v>
      </c>
      <c r="X32" s="43">
        <v>0</v>
      </c>
      <c r="Y32" s="65">
        <f t="shared" ca="1" si="13"/>
        <v>254.59</v>
      </c>
      <c r="AA32" s="55">
        <f t="shared" si="14"/>
        <v>24</v>
      </c>
      <c r="AB32" s="54">
        <f t="shared" ca="1" si="15"/>
        <v>-254.59</v>
      </c>
    </row>
    <row r="33" spans="1:28" ht="20.149999999999999" customHeight="1" x14ac:dyDescent="0.35">
      <c r="B33"/>
      <c r="C33" s="19"/>
      <c r="D33" s="57"/>
      <c r="E33" s="34">
        <v>26</v>
      </c>
      <c r="F33" s="150">
        <f t="shared" si="1"/>
        <v>25</v>
      </c>
      <c r="G33" s="58">
        <f t="shared" si="18"/>
        <v>1</v>
      </c>
      <c r="H33" s="58">
        <f t="shared" si="2"/>
        <v>5</v>
      </c>
      <c r="I33" s="59">
        <f t="shared" si="0"/>
        <v>2028</v>
      </c>
      <c r="J33" s="19">
        <f t="shared" si="3"/>
        <v>1</v>
      </c>
      <c r="K33" s="60">
        <f t="shared" si="16"/>
        <v>46874</v>
      </c>
      <c r="L33" s="61">
        <f t="shared" si="17"/>
        <v>30</v>
      </c>
      <c r="M33" s="133">
        <f ca="1">IF(OR(F33&gt;$C$15, F33=0),0, 1*(1/(1+$C$30)^SUM(OFFSET($L$8, IF(F33=0, 1, 0), 0):L33)))*J33</f>
        <v>0.770711804187311</v>
      </c>
      <c r="N33" s="121">
        <f t="shared" ca="1" si="19"/>
        <v>7613.7587788900264</v>
      </c>
      <c r="O33" s="63">
        <f t="shared" ca="1" si="4"/>
        <v>176.62761044208833</v>
      </c>
      <c r="P33" s="63">
        <f t="shared" ca="1" si="5"/>
        <v>72.25</v>
      </c>
      <c r="Q33" s="63">
        <f t="shared" ca="1" si="6"/>
        <v>5.7123895579116875</v>
      </c>
      <c r="R33" s="132">
        <f t="shared" ca="1" si="7"/>
        <v>254.59</v>
      </c>
      <c r="S33" s="63">
        <f t="shared" si="8"/>
        <v>0</v>
      </c>
      <c r="T33" s="62">
        <f t="shared" ca="1" si="9"/>
        <v>254.59</v>
      </c>
      <c r="U33" s="65">
        <f t="shared" si="10"/>
        <v>0</v>
      </c>
      <c r="V33" s="65">
        <f t="shared" si="11"/>
        <v>0</v>
      </c>
      <c r="W33" s="65">
        <f t="shared" si="12"/>
        <v>0</v>
      </c>
      <c r="X33" s="43">
        <v>0</v>
      </c>
      <c r="Y33" s="65">
        <f t="shared" ca="1" si="13"/>
        <v>254.59</v>
      </c>
      <c r="AA33" s="55">
        <f t="shared" si="14"/>
        <v>25</v>
      </c>
      <c r="AB33" s="54">
        <f t="shared" ca="1" si="15"/>
        <v>-254.59</v>
      </c>
    </row>
    <row r="34" spans="1:28" ht="20.149999999999999" customHeight="1" x14ac:dyDescent="0.35">
      <c r="B34"/>
      <c r="C34" s="19"/>
      <c r="D34" s="57"/>
      <c r="E34" s="34">
        <v>27</v>
      </c>
      <c r="F34" s="150">
        <f t="shared" si="1"/>
        <v>26</v>
      </c>
      <c r="G34" s="58">
        <f t="shared" si="18"/>
        <v>1</v>
      </c>
      <c r="H34" s="58">
        <f t="shared" si="2"/>
        <v>6</v>
      </c>
      <c r="I34" s="59">
        <f t="shared" si="0"/>
        <v>2028</v>
      </c>
      <c r="J34" s="19">
        <f t="shared" si="3"/>
        <v>1</v>
      </c>
      <c r="K34" s="60">
        <f t="shared" si="16"/>
        <v>46905</v>
      </c>
      <c r="L34" s="61">
        <f t="shared" si="17"/>
        <v>31</v>
      </c>
      <c r="M34" s="133">
        <f ca="1">IF(OR(F34&gt;$C$15, F34=0),0, 1*(1/(1+$C$30)^SUM(OFFSET($L$8, IF(F34=0, 1, 0), 0):L34)))*J34</f>
        <v>0.7626416178631189</v>
      </c>
      <c r="N34" s="121">
        <f t="shared" ca="1" si="19"/>
        <v>7437.1311684479379</v>
      </c>
      <c r="O34" s="63">
        <f t="shared" ca="1" si="4"/>
        <v>175.89406140577779</v>
      </c>
      <c r="P34" s="63">
        <f t="shared" ca="1" si="5"/>
        <v>72.930000000000007</v>
      </c>
      <c r="Q34" s="63">
        <f t="shared" ca="1" si="6"/>
        <v>5.7659385942221961</v>
      </c>
      <c r="R34" s="132">
        <f t="shared" ca="1" si="7"/>
        <v>254.59</v>
      </c>
      <c r="S34" s="63">
        <f t="shared" si="8"/>
        <v>0</v>
      </c>
      <c r="T34" s="62">
        <f t="shared" ca="1" si="9"/>
        <v>254.59</v>
      </c>
      <c r="U34" s="65">
        <f t="shared" si="10"/>
        <v>0</v>
      </c>
      <c r="V34" s="65">
        <f t="shared" si="11"/>
        <v>0</v>
      </c>
      <c r="W34" s="65">
        <f t="shared" si="12"/>
        <v>0</v>
      </c>
      <c r="X34" s="43">
        <v>0</v>
      </c>
      <c r="Y34" s="65">
        <f t="shared" ca="1" si="13"/>
        <v>254.59</v>
      </c>
      <c r="AA34" s="55">
        <f t="shared" si="14"/>
        <v>26</v>
      </c>
      <c r="AB34" s="54">
        <f t="shared" ca="1" si="15"/>
        <v>-254.59</v>
      </c>
    </row>
    <row r="35" spans="1:28" ht="20.149999999999999" customHeight="1" x14ac:dyDescent="0.35">
      <c r="B35" s="56" t="s">
        <v>46</v>
      </c>
      <c r="C35" s="107">
        <f>+IF(SIMULADOR_!G21="ORDINARIA", 1,2)</f>
        <v>1</v>
      </c>
      <c r="D35" s="57"/>
      <c r="E35" s="34">
        <v>28</v>
      </c>
      <c r="F35" s="150">
        <f t="shared" si="1"/>
        <v>27</v>
      </c>
      <c r="G35" s="58">
        <f t="shared" si="18"/>
        <v>1</v>
      </c>
      <c r="H35" s="58">
        <f t="shared" si="2"/>
        <v>7</v>
      </c>
      <c r="I35" s="59">
        <f t="shared" si="0"/>
        <v>2028</v>
      </c>
      <c r="J35" s="19">
        <f t="shared" si="3"/>
        <v>1</v>
      </c>
      <c r="K35" s="60">
        <f t="shared" si="16"/>
        <v>46935</v>
      </c>
      <c r="L35" s="61">
        <f t="shared" si="17"/>
        <v>30</v>
      </c>
      <c r="M35" s="133">
        <f ca="1">IF(OR(F35&gt;$C$15, F35=0),0, 1*(1/(1+$C$30)^SUM(OFFSET($L$8, IF(F35=0, 1, 0), 0):L35)))*J35</f>
        <v>0.75491222787808898</v>
      </c>
      <c r="N35" s="121">
        <f t="shared" ca="1" si="19"/>
        <v>7261.2371070421605</v>
      </c>
      <c r="O35" s="63">
        <f t="shared" ca="1" si="4"/>
        <v>180.24209756017046</v>
      </c>
      <c r="P35" s="63">
        <f t="shared" ca="1" si="5"/>
        <v>68.900000000000006</v>
      </c>
      <c r="Q35" s="63">
        <f t="shared" ca="1" si="6"/>
        <v>5.4479024398295337</v>
      </c>
      <c r="R35" s="132">
        <f t="shared" ca="1" si="7"/>
        <v>254.59</v>
      </c>
      <c r="S35" s="63">
        <f t="shared" si="8"/>
        <v>0</v>
      </c>
      <c r="T35" s="62">
        <f t="shared" ca="1" si="9"/>
        <v>254.59</v>
      </c>
      <c r="U35" s="65">
        <f t="shared" si="10"/>
        <v>0</v>
      </c>
      <c r="V35" s="65">
        <f t="shared" si="11"/>
        <v>0</v>
      </c>
      <c r="W35" s="65">
        <f t="shared" si="12"/>
        <v>0</v>
      </c>
      <c r="X35" s="43">
        <v>0</v>
      </c>
      <c r="Y35" s="65">
        <f t="shared" ca="1" si="13"/>
        <v>254.59</v>
      </c>
      <c r="AA35" s="55">
        <f t="shared" si="14"/>
        <v>27</v>
      </c>
      <c r="AB35" s="54">
        <f t="shared" ca="1" si="15"/>
        <v>-254.59</v>
      </c>
    </row>
    <row r="36" spans="1:28" ht="20.149999999999999" customHeight="1" x14ac:dyDescent="0.35">
      <c r="B36"/>
      <c r="C36" s="19"/>
      <c r="D36" s="57"/>
      <c r="E36" s="34">
        <v>29</v>
      </c>
      <c r="F36" s="150">
        <f t="shared" si="1"/>
        <v>28</v>
      </c>
      <c r="G36" s="58">
        <f t="shared" si="18"/>
        <v>1</v>
      </c>
      <c r="H36" s="58">
        <f t="shared" si="2"/>
        <v>8</v>
      </c>
      <c r="I36" s="59">
        <f t="shared" si="0"/>
        <v>2028</v>
      </c>
      <c r="J36" s="19">
        <f t="shared" si="3"/>
        <v>1</v>
      </c>
      <c r="K36" s="60">
        <f t="shared" si="16"/>
        <v>46966</v>
      </c>
      <c r="L36" s="61">
        <f t="shared" si="17"/>
        <v>31</v>
      </c>
      <c r="M36" s="133">
        <f ca="1">IF(OR(F36&gt;$C$15, F36=0),0, 1*(1/(1+$C$30)^SUM(OFFSET($L$8, IF(F36=0, 1, 0), 0):L36)))*J36</f>
        <v>0.74700748020939189</v>
      </c>
      <c r="N36" s="121">
        <f t="shared" ca="1" si="19"/>
        <v>7080.9950094819897</v>
      </c>
      <c r="O36" s="63">
        <f t="shared" ca="1" si="4"/>
        <v>179.66017045606478</v>
      </c>
      <c r="P36" s="63">
        <f t="shared" ca="1" si="5"/>
        <v>69.44</v>
      </c>
      <c r="Q36" s="63">
        <f t="shared" ca="1" si="6"/>
        <v>5.4898295439352225</v>
      </c>
      <c r="R36" s="132">
        <f t="shared" ca="1" si="7"/>
        <v>254.59</v>
      </c>
      <c r="S36" s="63">
        <f t="shared" si="8"/>
        <v>0</v>
      </c>
      <c r="T36" s="62">
        <f t="shared" ca="1" si="9"/>
        <v>254.59</v>
      </c>
      <c r="U36" s="65">
        <f t="shared" si="10"/>
        <v>0</v>
      </c>
      <c r="V36" s="65">
        <f t="shared" si="11"/>
        <v>0</v>
      </c>
      <c r="W36" s="65">
        <f t="shared" si="12"/>
        <v>0</v>
      </c>
      <c r="X36" s="43">
        <v>0</v>
      </c>
      <c r="Y36" s="65">
        <f t="shared" ca="1" si="13"/>
        <v>254.59</v>
      </c>
      <c r="AA36" s="55">
        <f t="shared" si="14"/>
        <v>28</v>
      </c>
      <c r="AB36" s="54">
        <f t="shared" ca="1" si="15"/>
        <v>-254.59</v>
      </c>
    </row>
    <row r="37" spans="1:28" ht="20.149999999999999" customHeight="1" x14ac:dyDescent="0.35">
      <c r="B37" s="56" t="s">
        <v>35</v>
      </c>
      <c r="C37" s="107" t="str">
        <f>+SIMULADOR_!G9</f>
        <v>SOLES</v>
      </c>
      <c r="D37" s="57"/>
      <c r="E37" s="34">
        <v>30</v>
      </c>
      <c r="F37" s="150">
        <f t="shared" si="1"/>
        <v>29</v>
      </c>
      <c r="G37" s="58">
        <f t="shared" si="18"/>
        <v>1</v>
      </c>
      <c r="H37" s="58">
        <f t="shared" si="2"/>
        <v>9</v>
      </c>
      <c r="I37" s="59">
        <f t="shared" si="0"/>
        <v>2028</v>
      </c>
      <c r="J37" s="19">
        <f t="shared" si="3"/>
        <v>1</v>
      </c>
      <c r="K37" s="60">
        <f t="shared" si="16"/>
        <v>46997</v>
      </c>
      <c r="L37" s="61">
        <f t="shared" si="17"/>
        <v>31</v>
      </c>
      <c r="M37" s="133">
        <f ca="1">IF(OR(F37&gt;$C$15, F37=0),0, 1*(1/(1+$C$30)^SUM(OFFSET($L$8, IF(F37=0, 1, 0), 0):L37)))*J37</f>
        <v>0.73918550379991943</v>
      </c>
      <c r="N37" s="121">
        <f t="shared" ca="1" si="19"/>
        <v>6901.3348390259252</v>
      </c>
      <c r="O37" s="63">
        <f t="shared" ca="1" si="4"/>
        <v>181.5594593145257</v>
      </c>
      <c r="P37" s="63">
        <f t="shared" ca="1" si="5"/>
        <v>67.680000000000007</v>
      </c>
      <c r="Q37" s="63">
        <f t="shared" ca="1" si="6"/>
        <v>5.3505406854743134</v>
      </c>
      <c r="R37" s="132">
        <f t="shared" ca="1" si="7"/>
        <v>254.59</v>
      </c>
      <c r="S37" s="63">
        <f t="shared" si="8"/>
        <v>0</v>
      </c>
      <c r="T37" s="62">
        <f t="shared" ca="1" si="9"/>
        <v>254.59</v>
      </c>
      <c r="U37" s="65">
        <f t="shared" si="10"/>
        <v>0</v>
      </c>
      <c r="V37" s="65">
        <f t="shared" si="11"/>
        <v>0</v>
      </c>
      <c r="W37" s="65">
        <f t="shared" si="12"/>
        <v>0</v>
      </c>
      <c r="X37" s="43">
        <v>0</v>
      </c>
      <c r="Y37" s="65">
        <f t="shared" ca="1" si="13"/>
        <v>254.59</v>
      </c>
      <c r="AA37" s="55">
        <f t="shared" si="14"/>
        <v>29</v>
      </c>
      <c r="AB37" s="54">
        <f t="shared" ca="1" si="15"/>
        <v>-254.59</v>
      </c>
    </row>
    <row r="38" spans="1:28" ht="20.149999999999999" customHeight="1" x14ac:dyDescent="0.35">
      <c r="B38"/>
      <c r="C38" s="19"/>
      <c r="D38" s="57"/>
      <c r="E38" s="34">
        <v>31</v>
      </c>
      <c r="F38" s="150">
        <f t="shared" si="1"/>
        <v>30</v>
      </c>
      <c r="G38" s="58">
        <f t="shared" si="18"/>
        <v>1</v>
      </c>
      <c r="H38" s="58">
        <f t="shared" si="2"/>
        <v>10</v>
      </c>
      <c r="I38" s="59">
        <f t="shared" si="0"/>
        <v>2028</v>
      </c>
      <c r="J38" s="19">
        <f t="shared" si="3"/>
        <v>1</v>
      </c>
      <c r="K38" s="60">
        <f t="shared" si="16"/>
        <v>47027</v>
      </c>
      <c r="L38" s="61">
        <f t="shared" si="17"/>
        <v>30</v>
      </c>
      <c r="M38" s="133">
        <f ca="1">IF(OR(F38&gt;$C$15, F38=0),0, 1*(1/(1+$C$30)^SUM(OFFSET($L$8, IF(F38=0, 1, 0), 0):L38)))*J38</f>
        <v>0.73169384205956089</v>
      </c>
      <c r="N38" s="121">
        <f t="shared" ca="1" si="19"/>
        <v>6719.7753797113992</v>
      </c>
      <c r="O38" s="63">
        <f t="shared" ca="1" si="4"/>
        <v>185.78834109993022</v>
      </c>
      <c r="P38" s="63">
        <f t="shared" ca="1" si="5"/>
        <v>63.76</v>
      </c>
      <c r="Q38" s="63">
        <f t="shared" ca="1" si="6"/>
        <v>5.0416589000697956</v>
      </c>
      <c r="R38" s="132">
        <f t="shared" ca="1" si="7"/>
        <v>254.59</v>
      </c>
      <c r="S38" s="63">
        <f t="shared" si="8"/>
        <v>0</v>
      </c>
      <c r="T38" s="62">
        <f t="shared" ca="1" si="9"/>
        <v>254.59</v>
      </c>
      <c r="U38" s="65">
        <f t="shared" si="10"/>
        <v>0</v>
      </c>
      <c r="V38" s="65">
        <f t="shared" si="11"/>
        <v>0</v>
      </c>
      <c r="W38" s="65">
        <f t="shared" si="12"/>
        <v>0</v>
      </c>
      <c r="X38" s="43">
        <v>0</v>
      </c>
      <c r="Y38" s="65">
        <f t="shared" ca="1" si="13"/>
        <v>254.59</v>
      </c>
      <c r="AA38" s="55">
        <f t="shared" si="14"/>
        <v>30</v>
      </c>
      <c r="AB38" s="54">
        <f t="shared" ca="1" si="15"/>
        <v>-254.59</v>
      </c>
    </row>
    <row r="39" spans="1:28" ht="20.149999999999999" customHeight="1" x14ac:dyDescent="0.35">
      <c r="A39" s="71"/>
      <c r="B39" s="56" t="s">
        <v>83</v>
      </c>
      <c r="C39" s="107">
        <f>+SIMULADOR_!G35</f>
        <v>0</v>
      </c>
      <c r="D39" s="57"/>
      <c r="E39" s="34">
        <v>32</v>
      </c>
      <c r="F39" s="150">
        <f t="shared" si="1"/>
        <v>31</v>
      </c>
      <c r="G39" s="58">
        <f t="shared" si="18"/>
        <v>1</v>
      </c>
      <c r="H39" s="58">
        <f t="shared" si="2"/>
        <v>11</v>
      </c>
      <c r="I39" s="59">
        <f t="shared" si="0"/>
        <v>2028</v>
      </c>
      <c r="J39" s="19">
        <f t="shared" si="3"/>
        <v>1</v>
      </c>
      <c r="K39" s="60">
        <f t="shared" si="16"/>
        <v>47058</v>
      </c>
      <c r="L39" s="61">
        <f t="shared" si="17"/>
        <v>31</v>
      </c>
      <c r="M39" s="133">
        <f ca="1">IF(OR(F39&gt;$C$15, F39=0),0, 1*(1/(1+$C$30)^SUM(OFFSET($L$8, IF(F39=0, 1, 0), 0):L39)))*J39</f>
        <v>0.72403221600738032</v>
      </c>
      <c r="N39" s="121">
        <f t="shared" ca="1" si="19"/>
        <v>6533.987038611469</v>
      </c>
      <c r="O39" s="63">
        <f t="shared" ca="1" si="4"/>
        <v>185.4442606461061</v>
      </c>
      <c r="P39" s="63">
        <f t="shared" ca="1" si="5"/>
        <v>64.08</v>
      </c>
      <c r="Q39" s="63">
        <f t="shared" ca="1" si="6"/>
        <v>5.0657393538938758</v>
      </c>
      <c r="R39" s="132">
        <f t="shared" ca="1" si="7"/>
        <v>254.59</v>
      </c>
      <c r="S39" s="63">
        <f t="shared" si="8"/>
        <v>0</v>
      </c>
      <c r="T39" s="62">
        <f t="shared" ca="1" si="9"/>
        <v>254.58999999999997</v>
      </c>
      <c r="U39" s="43"/>
      <c r="V39" s="43"/>
      <c r="W39" s="43"/>
      <c r="X39" s="43"/>
      <c r="Y39" s="43"/>
      <c r="AA39" s="55">
        <f t="shared" si="14"/>
        <v>31</v>
      </c>
      <c r="AB39" s="54">
        <f t="shared" ca="1" si="15"/>
        <v>-254.58999999999997</v>
      </c>
    </row>
    <row r="40" spans="1:28" ht="20.149999999999999" customHeight="1" x14ac:dyDescent="0.35">
      <c r="A40" s="71"/>
      <c r="B40" s="72"/>
      <c r="D40" s="57"/>
      <c r="E40" s="34">
        <v>33</v>
      </c>
      <c r="F40" s="150">
        <f t="shared" si="1"/>
        <v>32</v>
      </c>
      <c r="G40" s="58">
        <f t="shared" si="18"/>
        <v>1</v>
      </c>
      <c r="H40" s="58">
        <f t="shared" si="2"/>
        <v>12</v>
      </c>
      <c r="I40" s="59">
        <f t="shared" si="0"/>
        <v>2028</v>
      </c>
      <c r="J40" s="19">
        <f t="shared" si="3"/>
        <v>1</v>
      </c>
      <c r="K40" s="60">
        <f t="shared" si="16"/>
        <v>47088</v>
      </c>
      <c r="L40" s="61">
        <f t="shared" si="17"/>
        <v>30</v>
      </c>
      <c r="M40" s="133">
        <f ca="1">IF(OR(F40&gt;$C$15, F40=0),0, 1*(1/(1+$C$30)^SUM(OFFSET($L$8, IF(F40=0, 1, 0), 0):L40)))*J40</f>
        <v>0.71669413318031516</v>
      </c>
      <c r="N40" s="121">
        <f t="shared" ca="1" si="19"/>
        <v>6348.5427779653628</v>
      </c>
      <c r="O40" s="63">
        <f t="shared" ca="1" si="4"/>
        <v>189.58686650365721</v>
      </c>
      <c r="P40" s="63">
        <f t="shared" ca="1" si="5"/>
        <v>60.24</v>
      </c>
      <c r="Q40" s="63">
        <f t="shared" ca="1" si="6"/>
        <v>4.7631334963427809</v>
      </c>
      <c r="R40" s="132">
        <f t="shared" ca="1" si="7"/>
        <v>254.59</v>
      </c>
      <c r="S40" s="63">
        <f t="shared" si="8"/>
        <v>0</v>
      </c>
      <c r="T40" s="62">
        <f t="shared" ca="1" si="9"/>
        <v>254.59</v>
      </c>
      <c r="U40" s="43"/>
      <c r="V40" s="43"/>
      <c r="W40" s="43"/>
      <c r="X40" s="43"/>
      <c r="Y40" s="43"/>
      <c r="AA40" s="55">
        <f t="shared" si="14"/>
        <v>32</v>
      </c>
      <c r="AB40" s="54">
        <f t="shared" ca="1" si="15"/>
        <v>-254.59</v>
      </c>
    </row>
    <row r="41" spans="1:28" ht="20.149999999999999" customHeight="1" x14ac:dyDescent="0.35">
      <c r="A41" s="71"/>
      <c r="C41" s="112"/>
      <c r="D41" s="57"/>
      <c r="E41" s="34">
        <v>34</v>
      </c>
      <c r="F41" s="150">
        <f t="shared" si="1"/>
        <v>33</v>
      </c>
      <c r="G41" s="58">
        <f t="shared" si="18"/>
        <v>1</v>
      </c>
      <c r="H41" s="58">
        <f t="shared" si="2"/>
        <v>1</v>
      </c>
      <c r="I41" s="59">
        <f t="shared" si="0"/>
        <v>2029</v>
      </c>
      <c r="J41" s="19">
        <f t="shared" si="3"/>
        <v>1</v>
      </c>
      <c r="K41" s="60">
        <f t="shared" si="16"/>
        <v>47119</v>
      </c>
      <c r="L41" s="61">
        <f t="shared" si="17"/>
        <v>31</v>
      </c>
      <c r="M41" s="133">
        <f ca="1">IF(OR(F41&gt;$C$15, F41=0),0, 1*(1/(1+$C$30)^SUM(OFFSET($L$8, IF(F41=0, 1, 0), 0):L41)))*J41</f>
        <v>0.70918957030636376</v>
      </c>
      <c r="N41" s="121">
        <f t="shared" ca="1" si="19"/>
        <v>6158.9559114617059</v>
      </c>
      <c r="O41" s="63">
        <f t="shared" ca="1" si="4"/>
        <v>189.41501878941298</v>
      </c>
      <c r="P41" s="63">
        <f t="shared" ca="1" si="5"/>
        <v>60.4</v>
      </c>
      <c r="Q41" s="63">
        <f t="shared" ca="1" si="6"/>
        <v>4.7749812105870202</v>
      </c>
      <c r="R41" s="132">
        <f t="shared" ca="1" si="7"/>
        <v>254.59</v>
      </c>
      <c r="S41" s="63">
        <f t="shared" si="8"/>
        <v>0</v>
      </c>
      <c r="T41" s="62">
        <f t="shared" ca="1" si="9"/>
        <v>254.59</v>
      </c>
      <c r="U41" s="43"/>
      <c r="V41" s="43"/>
      <c r="W41" s="43"/>
      <c r="X41" s="43"/>
      <c r="Y41" s="43"/>
      <c r="AA41" s="55">
        <f t="shared" si="14"/>
        <v>33</v>
      </c>
      <c r="AB41" s="54">
        <f t="shared" ca="1" si="15"/>
        <v>-254.59</v>
      </c>
    </row>
    <row r="42" spans="1:28" ht="20.149999999999999" customHeight="1" x14ac:dyDescent="0.35">
      <c r="A42" s="71"/>
      <c r="B42" s="56" t="s">
        <v>118</v>
      </c>
      <c r="C42" s="107">
        <f>+C7</f>
        <v>2973.6842105263158</v>
      </c>
      <c r="D42" s="57"/>
      <c r="E42" s="34">
        <v>35</v>
      </c>
      <c r="F42" s="150">
        <f t="shared" si="1"/>
        <v>34</v>
      </c>
      <c r="G42" s="58">
        <f t="shared" si="18"/>
        <v>1</v>
      </c>
      <c r="H42" s="58">
        <f t="shared" si="2"/>
        <v>2</v>
      </c>
      <c r="I42" s="59">
        <f t="shared" si="0"/>
        <v>2029</v>
      </c>
      <c r="J42" s="19">
        <f t="shared" si="3"/>
        <v>1</v>
      </c>
      <c r="K42" s="60">
        <f t="shared" si="16"/>
        <v>47150</v>
      </c>
      <c r="L42" s="61">
        <f t="shared" si="17"/>
        <v>31</v>
      </c>
      <c r="M42" s="133">
        <f ca="1">IF(OR(F42&gt;$C$15, F42=0),0, 1*(1/(1+$C$30)^SUM(OFFSET($L$8, IF(F42=0, 1, 0), 0):L42)))*J42</f>
        <v>0.70176358832392705</v>
      </c>
      <c r="N42" s="121">
        <f t="shared" ca="1" si="19"/>
        <v>5969.540892672293</v>
      </c>
      <c r="O42" s="63">
        <f t="shared" ca="1" si="4"/>
        <v>191.42187049102029</v>
      </c>
      <c r="P42" s="63">
        <f t="shared" ca="1" si="5"/>
        <v>58.54</v>
      </c>
      <c r="Q42" s="63">
        <f t="shared" ca="1" si="6"/>
        <v>4.628129508979729</v>
      </c>
      <c r="R42" s="132">
        <f t="shared" ca="1" si="7"/>
        <v>254.59</v>
      </c>
      <c r="S42" s="63">
        <f t="shared" si="8"/>
        <v>0</v>
      </c>
      <c r="T42" s="62">
        <f t="shared" ca="1" si="9"/>
        <v>254.59</v>
      </c>
      <c r="U42" s="43"/>
      <c r="V42" s="43"/>
      <c r="W42" s="43"/>
      <c r="X42" s="43"/>
      <c r="Y42" s="43"/>
      <c r="AA42" s="55">
        <f t="shared" si="14"/>
        <v>34</v>
      </c>
      <c r="AB42" s="54">
        <f t="shared" ca="1" si="15"/>
        <v>-254.59</v>
      </c>
    </row>
    <row r="43" spans="1:28" ht="20.149999999999999" customHeight="1" x14ac:dyDescent="0.35">
      <c r="A43" s="71"/>
      <c r="B43" s="71"/>
      <c r="C43" s="112"/>
      <c r="D43" s="57"/>
      <c r="E43" s="34">
        <v>36</v>
      </c>
      <c r="F43" s="150">
        <f t="shared" si="1"/>
        <v>35</v>
      </c>
      <c r="G43" s="58">
        <f t="shared" si="18"/>
        <v>1</v>
      </c>
      <c r="H43" s="58">
        <f t="shared" si="2"/>
        <v>3</v>
      </c>
      <c r="I43" s="59">
        <f t="shared" si="0"/>
        <v>2029</v>
      </c>
      <c r="J43" s="19">
        <f t="shared" si="3"/>
        <v>1</v>
      </c>
      <c r="K43" s="60">
        <f t="shared" si="16"/>
        <v>47178</v>
      </c>
      <c r="L43" s="61">
        <f t="shared" si="17"/>
        <v>28</v>
      </c>
      <c r="M43" s="133">
        <f ca="1">IF(OR(F43&gt;$C$15, F43=0),0, 1*(1/(1+$C$30)^SUM(OFFSET($L$8, IF(F43=0, 1, 0), 0):L43)))*J43</f>
        <v>0.69512310711469882</v>
      </c>
      <c r="N43" s="121">
        <f t="shared" ca="1" si="19"/>
        <v>5778.1190221812731</v>
      </c>
      <c r="O43" s="63">
        <f t="shared" ca="1" si="4"/>
        <v>199.38395130804216</v>
      </c>
      <c r="P43" s="63">
        <f t="shared" ca="1" si="5"/>
        <v>51.16</v>
      </c>
      <c r="Q43" s="63">
        <f t="shared" ca="1" si="6"/>
        <v>4.0460486919578438</v>
      </c>
      <c r="R43" s="132">
        <f t="shared" ca="1" si="7"/>
        <v>254.59</v>
      </c>
      <c r="S43" s="63">
        <f t="shared" si="8"/>
        <v>0</v>
      </c>
      <c r="T43" s="62">
        <f t="shared" ca="1" si="9"/>
        <v>254.59</v>
      </c>
      <c r="U43" s="43"/>
      <c r="V43" s="43"/>
      <c r="W43" s="43"/>
      <c r="X43" s="43"/>
      <c r="Y43" s="43"/>
      <c r="AA43" s="55">
        <f t="shared" si="14"/>
        <v>35</v>
      </c>
      <c r="AB43" s="54">
        <f t="shared" ca="1" si="15"/>
        <v>-254.59</v>
      </c>
    </row>
    <row r="44" spans="1:28" ht="20.149999999999999" customHeight="1" x14ac:dyDescent="0.35">
      <c r="A44" s="71"/>
      <c r="B44" s="71"/>
      <c r="C44" s="112"/>
      <c r="D44" s="57"/>
      <c r="E44" s="34">
        <v>37</v>
      </c>
      <c r="F44" s="150">
        <f t="shared" si="1"/>
        <v>36</v>
      </c>
      <c r="G44" s="58">
        <f t="shared" si="18"/>
        <v>1</v>
      </c>
      <c r="H44" s="58">
        <f t="shared" si="2"/>
        <v>4</v>
      </c>
      <c r="I44" s="59">
        <f t="shared" si="0"/>
        <v>2029</v>
      </c>
      <c r="J44" s="19">
        <f t="shared" si="3"/>
        <v>1</v>
      </c>
      <c r="K44" s="60">
        <f t="shared" si="16"/>
        <v>47209</v>
      </c>
      <c r="L44" s="61">
        <f t="shared" si="17"/>
        <v>31</v>
      </c>
      <c r="M44" s="133">
        <f ca="1">IF(OR(F44&gt;$C$15, F44=0),0, 1*(1/(1+$C$30)^SUM(OFFSET($L$8, IF(F44=0, 1, 0), 0):L44)))*J44</f>
        <v>0.68784441621858339</v>
      </c>
      <c r="N44" s="121">
        <f t="shared" ca="1" si="19"/>
        <v>5578.7350708732311</v>
      </c>
      <c r="O44" s="63">
        <f t="shared" ca="1" si="4"/>
        <v>195.55485860830908</v>
      </c>
      <c r="P44" s="63">
        <f t="shared" ca="1" si="5"/>
        <v>54.71</v>
      </c>
      <c r="Q44" s="63">
        <f t="shared" ca="1" si="6"/>
        <v>4.3251413916909236</v>
      </c>
      <c r="R44" s="132">
        <f t="shared" ca="1" si="7"/>
        <v>254.59</v>
      </c>
      <c r="S44" s="63">
        <f t="shared" si="8"/>
        <v>0</v>
      </c>
      <c r="T44" s="62">
        <f t="shared" ca="1" si="9"/>
        <v>254.59</v>
      </c>
      <c r="U44" s="43"/>
      <c r="V44" s="43"/>
      <c r="W44" s="43"/>
      <c r="X44" s="43"/>
      <c r="Y44" s="43"/>
      <c r="AA44" s="55">
        <f t="shared" si="14"/>
        <v>36</v>
      </c>
      <c r="AB44" s="54">
        <f t="shared" ca="1" si="15"/>
        <v>-254.59</v>
      </c>
    </row>
    <row r="45" spans="1:28" x14ac:dyDescent="0.35">
      <c r="A45" s="71"/>
      <c r="B45" s="71"/>
      <c r="C45" s="112"/>
      <c r="D45" s="57"/>
      <c r="E45" s="34">
        <v>38</v>
      </c>
      <c r="F45" s="150">
        <f t="shared" si="1"/>
        <v>37</v>
      </c>
      <c r="G45" s="58">
        <f t="shared" si="18"/>
        <v>1</v>
      </c>
      <c r="H45" s="58">
        <f t="shared" si="2"/>
        <v>5</v>
      </c>
      <c r="I45" s="59">
        <f t="shared" si="0"/>
        <v>2029</v>
      </c>
      <c r="J45" s="19">
        <f t="shared" si="3"/>
        <v>1</v>
      </c>
      <c r="K45" s="60">
        <f t="shared" si="16"/>
        <v>47239</v>
      </c>
      <c r="L45" s="61">
        <f t="shared" si="17"/>
        <v>30</v>
      </c>
      <c r="M45" s="133">
        <f ca="1">IF(OR(F45&gt;$C$15, F45=0),0, 1*(1/(1+$C$30)^SUM(OFFSET($L$8, IF(F45=0, 1, 0), 0):L45)))*J45</f>
        <v>0.68087309755795811</v>
      </c>
      <c r="N45" s="121">
        <f t="shared" ca="1" si="19"/>
        <v>5383.1802122649224</v>
      </c>
      <c r="O45" s="63">
        <f t="shared" ca="1" si="4"/>
        <v>199.47115094713021</v>
      </c>
      <c r="P45" s="63">
        <f t="shared" ca="1" si="5"/>
        <v>51.08</v>
      </c>
      <c r="Q45" s="63">
        <f t="shared" ca="1" si="6"/>
        <v>4.0388490528697805</v>
      </c>
      <c r="R45" s="132">
        <f t="shared" ca="1" si="7"/>
        <v>254.59</v>
      </c>
      <c r="S45" s="63">
        <f t="shared" si="8"/>
        <v>0</v>
      </c>
      <c r="T45" s="62">
        <f t="shared" ca="1" si="9"/>
        <v>254.59</v>
      </c>
      <c r="U45" s="43"/>
      <c r="V45" s="43"/>
      <c r="W45" s="43"/>
      <c r="X45" s="43"/>
      <c r="Y45" s="43"/>
      <c r="AA45" s="55">
        <f t="shared" si="14"/>
        <v>37</v>
      </c>
      <c r="AB45" s="54">
        <f t="shared" ca="1" si="15"/>
        <v>-254.59</v>
      </c>
    </row>
    <row r="46" spans="1:28" x14ac:dyDescent="0.35">
      <c r="A46" s="71"/>
      <c r="B46" s="71"/>
      <c r="C46" s="112"/>
      <c r="D46" s="57"/>
      <c r="E46" s="34">
        <v>39</v>
      </c>
      <c r="F46" s="150">
        <f t="shared" si="1"/>
        <v>38</v>
      </c>
      <c r="G46" s="58">
        <f t="shared" si="18"/>
        <v>1</v>
      </c>
      <c r="H46" s="58">
        <f t="shared" si="2"/>
        <v>6</v>
      </c>
      <c r="I46" s="59">
        <f t="shared" si="0"/>
        <v>2029</v>
      </c>
      <c r="J46" s="19">
        <f t="shared" si="3"/>
        <v>1</v>
      </c>
      <c r="K46" s="60">
        <f t="shared" si="16"/>
        <v>47270</v>
      </c>
      <c r="L46" s="61">
        <f t="shared" si="17"/>
        <v>31</v>
      </c>
      <c r="M46" s="133">
        <f ca="1">IF(OR(F46&gt;$C$15, F46=0),0, 1*(1/(1+$C$30)^SUM(OFFSET($L$8, IF(F46=0, 1, 0), 0):L46)))*J46</f>
        <v>0.67374361967716112</v>
      </c>
      <c r="N46" s="121">
        <f t="shared" ca="1" si="19"/>
        <v>5183.7090613177925</v>
      </c>
      <c r="O46" s="63">
        <f t="shared" ca="1" si="4"/>
        <v>199.74111859789758</v>
      </c>
      <c r="P46" s="63">
        <f t="shared" ca="1" si="5"/>
        <v>50.83</v>
      </c>
      <c r="Q46" s="63">
        <f t="shared" ca="1" si="6"/>
        <v>4.0188814021024086</v>
      </c>
      <c r="R46" s="132">
        <f t="shared" ca="1" si="7"/>
        <v>254.59</v>
      </c>
      <c r="S46" s="63">
        <f t="shared" si="8"/>
        <v>0</v>
      </c>
      <c r="T46" s="62">
        <f t="shared" ca="1" si="9"/>
        <v>254.58999999999997</v>
      </c>
      <c r="U46" s="43"/>
      <c r="V46" s="43"/>
      <c r="W46" s="43"/>
      <c r="X46" s="43"/>
      <c r="Y46" s="43"/>
      <c r="AA46" s="55">
        <f t="shared" si="14"/>
        <v>38</v>
      </c>
      <c r="AB46" s="54">
        <f t="shared" ca="1" si="15"/>
        <v>-254.58999999999997</v>
      </c>
    </row>
    <row r="47" spans="1:28" x14ac:dyDescent="0.35">
      <c r="A47" s="71"/>
      <c r="B47" s="71"/>
      <c r="C47" s="112"/>
      <c r="D47" s="57"/>
      <c r="E47" s="34">
        <v>40</v>
      </c>
      <c r="F47" s="150">
        <f t="shared" si="1"/>
        <v>39</v>
      </c>
      <c r="G47" s="58">
        <f t="shared" si="18"/>
        <v>1</v>
      </c>
      <c r="H47" s="58">
        <f t="shared" si="2"/>
        <v>7</v>
      </c>
      <c r="I47" s="59">
        <f t="shared" si="0"/>
        <v>2029</v>
      </c>
      <c r="J47" s="19">
        <f t="shared" si="3"/>
        <v>1</v>
      </c>
      <c r="K47" s="60">
        <f t="shared" si="16"/>
        <v>47300</v>
      </c>
      <c r="L47" s="61">
        <f t="shared" si="17"/>
        <v>30</v>
      </c>
      <c r="M47" s="133">
        <f ca="1">IF(OR(F47&gt;$C$15, F47=0),0, 1*(1/(1+$C$30)^SUM(OFFSET($L$8, IF(F47=0, 1, 0), 0):L47)))*J47</f>
        <v>0.66691521290727918</v>
      </c>
      <c r="N47" s="121">
        <f t="shared" ca="1" si="19"/>
        <v>4983.9679427198953</v>
      </c>
      <c r="O47" s="63">
        <f t="shared" ca="1" si="4"/>
        <v>203.56066871045391</v>
      </c>
      <c r="P47" s="63">
        <f t="shared" ca="1" si="5"/>
        <v>47.29</v>
      </c>
      <c r="Q47" s="63">
        <f t="shared" ca="1" si="6"/>
        <v>3.7393312895460924</v>
      </c>
      <c r="R47" s="132">
        <f t="shared" ca="1" si="7"/>
        <v>254.59</v>
      </c>
      <c r="S47" s="63">
        <f t="shared" si="8"/>
        <v>0</v>
      </c>
      <c r="T47" s="62">
        <f t="shared" ca="1" si="9"/>
        <v>254.59</v>
      </c>
      <c r="U47" s="43"/>
      <c r="V47" s="43"/>
      <c r="W47" s="43"/>
      <c r="X47" s="43"/>
      <c r="Y47" s="43"/>
      <c r="AA47" s="55">
        <f t="shared" si="14"/>
        <v>39</v>
      </c>
      <c r="AB47" s="54">
        <f t="shared" ca="1" si="15"/>
        <v>-254.59</v>
      </c>
    </row>
    <row r="48" spans="1:28" x14ac:dyDescent="0.35">
      <c r="A48" s="71"/>
      <c r="B48" s="71"/>
      <c r="C48" s="112"/>
      <c r="D48" s="57"/>
      <c r="E48" s="34">
        <v>41</v>
      </c>
      <c r="F48" s="150">
        <f t="shared" si="1"/>
        <v>40</v>
      </c>
      <c r="G48" s="58">
        <f t="shared" si="18"/>
        <v>1</v>
      </c>
      <c r="H48" s="58">
        <f t="shared" si="2"/>
        <v>8</v>
      </c>
      <c r="I48" s="59">
        <f t="shared" si="0"/>
        <v>2029</v>
      </c>
      <c r="J48" s="19">
        <f t="shared" si="3"/>
        <v>1</v>
      </c>
      <c r="K48" s="60">
        <f t="shared" si="16"/>
        <v>47331</v>
      </c>
      <c r="L48" s="61">
        <f t="shared" si="17"/>
        <v>31</v>
      </c>
      <c r="M48" s="133">
        <f ca="1">IF(OR(F48&gt;$C$15, F48=0),0, 1*(1/(1+$C$30)^SUM(OFFSET($L$8, IF(F48=0, 1, 0), 0):L48)))*J48</f>
        <v>0.65993188917802181</v>
      </c>
      <c r="N48" s="121">
        <f t="shared" ca="1" si="19"/>
        <v>4780.4072740094416</v>
      </c>
      <c r="O48" s="63">
        <f t="shared" ca="1" si="4"/>
        <v>204.00379472097387</v>
      </c>
      <c r="P48" s="63">
        <f t="shared" ca="1" si="5"/>
        <v>46.88</v>
      </c>
      <c r="Q48" s="63">
        <f t="shared" ca="1" si="6"/>
        <v>3.7062052790261357</v>
      </c>
      <c r="R48" s="132">
        <f t="shared" ca="1" si="7"/>
        <v>254.59</v>
      </c>
      <c r="S48" s="63">
        <f t="shared" si="8"/>
        <v>0</v>
      </c>
      <c r="T48" s="62">
        <f t="shared" ca="1" si="9"/>
        <v>254.59</v>
      </c>
      <c r="U48" s="43"/>
      <c r="V48" s="43"/>
      <c r="W48" s="43"/>
      <c r="X48" s="43"/>
      <c r="Y48" s="43"/>
      <c r="AA48" s="55">
        <f t="shared" si="14"/>
        <v>40</v>
      </c>
      <c r="AB48" s="54">
        <f t="shared" ca="1" si="15"/>
        <v>-254.59</v>
      </c>
    </row>
    <row r="49" spans="1:28" x14ac:dyDescent="0.35">
      <c r="A49" s="71"/>
      <c r="B49" s="71"/>
      <c r="C49" s="112"/>
      <c r="D49" s="57"/>
      <c r="E49" s="34">
        <v>42</v>
      </c>
      <c r="F49" s="150">
        <f t="shared" si="1"/>
        <v>41</v>
      </c>
      <c r="G49" s="58">
        <f t="shared" si="18"/>
        <v>1</v>
      </c>
      <c r="H49" s="58">
        <f t="shared" si="2"/>
        <v>9</v>
      </c>
      <c r="I49" s="59">
        <f t="shared" si="0"/>
        <v>2029</v>
      </c>
      <c r="J49" s="19">
        <f t="shared" si="3"/>
        <v>1</v>
      </c>
      <c r="K49" s="60">
        <f t="shared" si="16"/>
        <v>47362</v>
      </c>
      <c r="L49" s="61">
        <f t="shared" si="17"/>
        <v>31</v>
      </c>
      <c r="M49" s="133">
        <f ca="1">IF(OR(F49&gt;$C$15, F49=0),0, 1*(1/(1+$C$30)^SUM(OFFSET($L$8, IF(F49=0, 1, 0), 0):L49)))*J49</f>
        <v>0.65302168840257313</v>
      </c>
      <c r="N49" s="121">
        <f t="shared" ca="1" si="19"/>
        <v>4576.4034792884677</v>
      </c>
      <c r="O49" s="63">
        <f t="shared" ca="1" si="4"/>
        <v>206.16195696481594</v>
      </c>
      <c r="P49" s="63">
        <f t="shared" ca="1" si="5"/>
        <v>44.88</v>
      </c>
      <c r="Q49" s="63">
        <f t="shared" ca="1" si="6"/>
        <v>3.5480430351840759</v>
      </c>
      <c r="R49" s="132">
        <f t="shared" ca="1" si="7"/>
        <v>254.59</v>
      </c>
      <c r="S49" s="63">
        <f t="shared" si="8"/>
        <v>0</v>
      </c>
      <c r="T49" s="62">
        <f t="shared" ca="1" si="9"/>
        <v>254.59</v>
      </c>
      <c r="U49" s="43"/>
      <c r="V49" s="43"/>
      <c r="W49" s="43"/>
      <c r="X49" s="43"/>
      <c r="Y49" s="43"/>
      <c r="AA49" s="55">
        <f t="shared" si="14"/>
        <v>41</v>
      </c>
      <c r="AB49" s="54">
        <f t="shared" ca="1" si="15"/>
        <v>-254.59</v>
      </c>
    </row>
    <row r="50" spans="1:28" x14ac:dyDescent="0.35">
      <c r="A50" s="71"/>
      <c r="B50" s="71"/>
      <c r="C50" s="112"/>
      <c r="D50" s="57"/>
      <c r="E50" s="34">
        <v>43</v>
      </c>
      <c r="F50" s="150">
        <f t="shared" si="1"/>
        <v>42</v>
      </c>
      <c r="G50" s="58">
        <f t="shared" si="18"/>
        <v>1</v>
      </c>
      <c r="H50" s="58">
        <f t="shared" si="2"/>
        <v>10</v>
      </c>
      <c r="I50" s="59">
        <f t="shared" si="0"/>
        <v>2029</v>
      </c>
      <c r="J50" s="19">
        <f t="shared" si="3"/>
        <v>1</v>
      </c>
      <c r="K50" s="60">
        <f t="shared" si="16"/>
        <v>47392</v>
      </c>
      <c r="L50" s="61">
        <f t="shared" si="17"/>
        <v>30</v>
      </c>
      <c r="M50" s="133">
        <f ca="1">IF(OR(F50&gt;$C$15, F50=0),0, 1*(1/(1+$C$30)^SUM(OFFSET($L$8, IF(F50=0, 1, 0), 0):L50)))*J50</f>
        <v>0.64640329887317782</v>
      </c>
      <c r="N50" s="121">
        <f t="shared" ca="1" si="19"/>
        <v>4370.2415223236521</v>
      </c>
      <c r="O50" s="63">
        <f t="shared" ca="1" si="4"/>
        <v>209.84113042156122</v>
      </c>
      <c r="P50" s="63">
        <f t="shared" ca="1" si="5"/>
        <v>41.47</v>
      </c>
      <c r="Q50" s="63">
        <f t="shared" ca="1" si="6"/>
        <v>3.2788695784387807</v>
      </c>
      <c r="R50" s="132">
        <f t="shared" ca="1" si="7"/>
        <v>254.59</v>
      </c>
      <c r="S50" s="63">
        <f t="shared" si="8"/>
        <v>0</v>
      </c>
      <c r="T50" s="62">
        <f t="shared" ca="1" si="9"/>
        <v>254.59</v>
      </c>
      <c r="U50" s="43"/>
      <c r="V50" s="43"/>
      <c r="W50" s="43"/>
      <c r="X50" s="43"/>
      <c r="Y50" s="43"/>
      <c r="AA50" s="55">
        <f t="shared" si="14"/>
        <v>42</v>
      </c>
      <c r="AB50" s="54">
        <f t="shared" ca="1" si="15"/>
        <v>-254.59</v>
      </c>
    </row>
    <row r="51" spans="1:28" x14ac:dyDescent="0.35">
      <c r="A51" s="71"/>
      <c r="B51" s="71"/>
      <c r="C51" s="112"/>
      <c r="D51" s="57"/>
      <c r="E51" s="34">
        <v>44</v>
      </c>
      <c r="F51" s="150">
        <f t="shared" si="1"/>
        <v>43</v>
      </c>
      <c r="G51" s="58">
        <f t="shared" si="18"/>
        <v>1</v>
      </c>
      <c r="H51" s="58">
        <f t="shared" si="2"/>
        <v>11</v>
      </c>
      <c r="I51" s="59">
        <f t="shared" si="0"/>
        <v>2029</v>
      </c>
      <c r="J51" s="19">
        <f t="shared" si="3"/>
        <v>1</v>
      </c>
      <c r="K51" s="60">
        <f t="shared" si="16"/>
        <v>47423</v>
      </c>
      <c r="L51" s="61">
        <f t="shared" si="17"/>
        <v>31</v>
      </c>
      <c r="M51" s="133">
        <f ca="1">IF(OR(F51&gt;$C$15, F51=0),0, 1*(1/(1+$C$30)^SUM(OFFSET($L$8, IF(F51=0, 1, 0), 0):L51)))*J51</f>
        <v>0.63963475707306927</v>
      </c>
      <c r="N51" s="121">
        <f t="shared" ca="1" si="19"/>
        <v>4160.4003919020906</v>
      </c>
      <c r="O51" s="63">
        <f t="shared" ca="1" si="4"/>
        <v>210.56448028766025</v>
      </c>
      <c r="P51" s="63">
        <f t="shared" ca="1" si="5"/>
        <v>40.799999999999997</v>
      </c>
      <c r="Q51" s="63">
        <f t="shared" ca="1" si="6"/>
        <v>3.2255197123397812</v>
      </c>
      <c r="R51" s="132">
        <f t="shared" ca="1" si="7"/>
        <v>254.59</v>
      </c>
      <c r="S51" s="63">
        <f t="shared" si="8"/>
        <v>0</v>
      </c>
      <c r="T51" s="62">
        <f t="shared" ca="1" si="9"/>
        <v>254.59</v>
      </c>
      <c r="U51" s="43"/>
      <c r="V51" s="43"/>
      <c r="W51" s="43"/>
      <c r="X51" s="43"/>
      <c r="Y51" s="43"/>
      <c r="AA51" s="55">
        <f t="shared" si="14"/>
        <v>43</v>
      </c>
      <c r="AB51" s="54">
        <f t="shared" ca="1" si="15"/>
        <v>-254.59</v>
      </c>
    </row>
    <row r="52" spans="1:28" x14ac:dyDescent="0.35">
      <c r="A52" s="71"/>
      <c r="B52" s="71"/>
      <c r="C52" s="112"/>
      <c r="D52" s="57"/>
      <c r="E52" s="34">
        <v>45</v>
      </c>
      <c r="F52" s="150">
        <f t="shared" si="1"/>
        <v>44</v>
      </c>
      <c r="G52" s="58">
        <f t="shared" si="18"/>
        <v>1</v>
      </c>
      <c r="H52" s="58">
        <f t="shared" si="2"/>
        <v>12</v>
      </c>
      <c r="I52" s="59">
        <f t="shared" si="0"/>
        <v>2029</v>
      </c>
      <c r="J52" s="19">
        <f t="shared" si="3"/>
        <v>1</v>
      </c>
      <c r="K52" s="60">
        <f t="shared" si="16"/>
        <v>47453</v>
      </c>
      <c r="L52" s="61">
        <f t="shared" si="17"/>
        <v>30</v>
      </c>
      <c r="M52" s="133">
        <f ca="1">IF(OR(F52&gt;$C$15, F52=0),0, 1*(1/(1+$C$30)^SUM(OFFSET($L$8, IF(F52=0, 1, 0), 0):L52)))*J52</f>
        <v>0.63315204439440587</v>
      </c>
      <c r="N52" s="121">
        <f t="shared" ca="1" si="19"/>
        <v>3949.8359116144302</v>
      </c>
      <c r="O52" s="63">
        <f t="shared" ca="1" si="4"/>
        <v>214.14654895404237</v>
      </c>
      <c r="P52" s="63">
        <f t="shared" ca="1" si="5"/>
        <v>37.479999999999997</v>
      </c>
      <c r="Q52" s="63">
        <f t="shared" ca="1" si="6"/>
        <v>2.9634510459576462</v>
      </c>
      <c r="R52" s="132">
        <f t="shared" ca="1" si="7"/>
        <v>254.59</v>
      </c>
      <c r="S52" s="63">
        <f t="shared" si="8"/>
        <v>0</v>
      </c>
      <c r="T52" s="62">
        <f t="shared" ca="1" si="9"/>
        <v>254.59</v>
      </c>
      <c r="U52" s="43"/>
      <c r="V52" s="43"/>
      <c r="W52" s="43"/>
      <c r="X52" s="43"/>
      <c r="Y52" s="43"/>
      <c r="AA52" s="55">
        <f t="shared" si="14"/>
        <v>44</v>
      </c>
      <c r="AB52" s="54">
        <f t="shared" ca="1" si="15"/>
        <v>-254.59</v>
      </c>
    </row>
    <row r="53" spans="1:28" x14ac:dyDescent="0.35">
      <c r="A53" s="71"/>
      <c r="B53" s="71"/>
      <c r="C53" s="112"/>
      <c r="D53" s="57"/>
      <c r="E53" s="34">
        <v>46</v>
      </c>
      <c r="F53" s="150">
        <f t="shared" si="1"/>
        <v>45</v>
      </c>
      <c r="G53" s="58">
        <f t="shared" si="18"/>
        <v>1</v>
      </c>
      <c r="H53" s="58">
        <f t="shared" si="2"/>
        <v>1</v>
      </c>
      <c r="I53" s="59">
        <f t="shared" si="0"/>
        <v>2030</v>
      </c>
      <c r="J53" s="19">
        <f t="shared" si="3"/>
        <v>1</v>
      </c>
      <c r="K53" s="60">
        <f t="shared" si="16"/>
        <v>47484</v>
      </c>
      <c r="L53" s="61">
        <f t="shared" si="17"/>
        <v>31</v>
      </c>
      <c r="M53" s="133">
        <f ca="1">IF(OR(F53&gt;$C$15, F53=0),0, 1*(1/(1+$C$30)^SUM(OFFSET($L$8, IF(F53=0, 1, 0), 0):L53)))*J53</f>
        <v>0.62652225756352442</v>
      </c>
      <c r="N53" s="121">
        <f t="shared" ca="1" si="19"/>
        <v>3735.6893626603878</v>
      </c>
      <c r="O53" s="63">
        <f t="shared" ca="1" si="4"/>
        <v>215.06375479679969</v>
      </c>
      <c r="P53" s="63">
        <f t="shared" ca="1" si="5"/>
        <v>36.630000000000003</v>
      </c>
      <c r="Q53" s="63">
        <f t="shared" ca="1" si="6"/>
        <v>2.896245203200309</v>
      </c>
      <c r="R53" s="132">
        <f t="shared" ca="1" si="7"/>
        <v>254.59</v>
      </c>
      <c r="S53" s="63">
        <f t="shared" si="8"/>
        <v>0</v>
      </c>
      <c r="T53" s="62">
        <f t="shared" ca="1" si="9"/>
        <v>254.59</v>
      </c>
      <c r="U53" s="43"/>
      <c r="V53" s="43"/>
      <c r="W53" s="43"/>
      <c r="X53" s="43"/>
      <c r="Y53" s="43"/>
      <c r="AA53" s="55">
        <f t="shared" si="14"/>
        <v>45</v>
      </c>
      <c r="AB53" s="54">
        <f t="shared" ca="1" si="15"/>
        <v>-254.59</v>
      </c>
    </row>
    <row r="54" spans="1:28" x14ac:dyDescent="0.35">
      <c r="A54" s="71"/>
      <c r="B54" s="71"/>
      <c r="C54" s="112"/>
      <c r="D54" s="57"/>
      <c r="E54" s="34">
        <v>47</v>
      </c>
      <c r="F54" s="150">
        <f t="shared" si="1"/>
        <v>46</v>
      </c>
      <c r="G54" s="58">
        <f t="shared" si="18"/>
        <v>1</v>
      </c>
      <c r="H54" s="58">
        <f t="shared" si="2"/>
        <v>2</v>
      </c>
      <c r="I54" s="59">
        <f t="shared" si="0"/>
        <v>2030</v>
      </c>
      <c r="J54" s="19">
        <f t="shared" si="3"/>
        <v>1</v>
      </c>
      <c r="K54" s="60">
        <f t="shared" si="16"/>
        <v>47515</v>
      </c>
      <c r="L54" s="61">
        <f t="shared" si="17"/>
        <v>31</v>
      </c>
      <c r="M54" s="133">
        <f ca="1">IF(OR(F54&gt;$C$15, F54=0),0, 1*(1/(1+$C$30)^SUM(OFFSET($L$8, IF(F54=0, 1, 0), 0):L54)))*J54</f>
        <v>0.61996189177267924</v>
      </c>
      <c r="N54" s="121">
        <f t="shared" ca="1" si="19"/>
        <v>3520.6256078635879</v>
      </c>
      <c r="O54" s="63">
        <f t="shared" ca="1" si="4"/>
        <v>217.33049172477834</v>
      </c>
      <c r="P54" s="63">
        <f t="shared" ca="1" si="5"/>
        <v>34.53</v>
      </c>
      <c r="Q54" s="63">
        <f t="shared" ca="1" si="6"/>
        <v>2.7295082752216682</v>
      </c>
      <c r="R54" s="132">
        <f t="shared" ca="1" si="7"/>
        <v>254.59</v>
      </c>
      <c r="S54" s="63">
        <f t="shared" si="8"/>
        <v>0</v>
      </c>
      <c r="T54" s="62">
        <f t="shared" ca="1" si="9"/>
        <v>254.59</v>
      </c>
      <c r="U54" s="43"/>
      <c r="V54" s="43"/>
      <c r="W54" s="43"/>
      <c r="X54" s="43"/>
      <c r="Y54" s="43"/>
      <c r="AA54" s="55">
        <f t="shared" si="14"/>
        <v>46</v>
      </c>
      <c r="AB54" s="54">
        <f t="shared" ca="1" si="15"/>
        <v>-254.59</v>
      </c>
    </row>
    <row r="55" spans="1:28" x14ac:dyDescent="0.35">
      <c r="A55" s="71"/>
      <c r="B55" s="71"/>
      <c r="C55" s="112"/>
      <c r="D55" s="57"/>
      <c r="E55" s="34">
        <v>48</v>
      </c>
      <c r="F55" s="150">
        <f t="shared" si="1"/>
        <v>47</v>
      </c>
      <c r="G55" s="58">
        <f t="shared" si="18"/>
        <v>1</v>
      </c>
      <c r="H55" s="58">
        <f t="shared" si="2"/>
        <v>3</v>
      </c>
      <c r="I55" s="59">
        <f t="shared" si="0"/>
        <v>2030</v>
      </c>
      <c r="J55" s="19">
        <f t="shared" si="3"/>
        <v>1</v>
      </c>
      <c r="K55" s="60">
        <f t="shared" si="16"/>
        <v>47543</v>
      </c>
      <c r="L55" s="61">
        <f t="shared" si="17"/>
        <v>28</v>
      </c>
      <c r="M55" s="133">
        <f ca="1">IF(OR(F55&gt;$C$15, F55=0),0, 1*(1/(1+$C$30)^SUM(OFFSET($L$8, IF(F55=0, 1, 0), 0):L55)))*J55</f>
        <v>0.61409546415909122</v>
      </c>
      <c r="N55" s="121">
        <f t="shared" ca="1" si="19"/>
        <v>3303.2951161388096</v>
      </c>
      <c r="O55" s="63">
        <f t="shared" ca="1" si="4"/>
        <v>223.02691284611879</v>
      </c>
      <c r="P55" s="63">
        <f t="shared" ca="1" si="5"/>
        <v>29.25</v>
      </c>
      <c r="Q55" s="63">
        <f t="shared" ca="1" si="6"/>
        <v>2.3130871538812108</v>
      </c>
      <c r="R55" s="132">
        <f t="shared" ca="1" si="7"/>
        <v>254.59</v>
      </c>
      <c r="S55" s="63">
        <f t="shared" si="8"/>
        <v>0</v>
      </c>
      <c r="T55" s="62">
        <f t="shared" ca="1" si="9"/>
        <v>254.59</v>
      </c>
      <c r="U55" s="43"/>
      <c r="V55" s="43"/>
      <c r="W55" s="43"/>
      <c r="X55" s="43"/>
      <c r="Y55" s="43"/>
      <c r="AA55" s="55">
        <f t="shared" si="14"/>
        <v>47</v>
      </c>
      <c r="AB55" s="54">
        <f t="shared" ca="1" si="15"/>
        <v>-254.59</v>
      </c>
    </row>
    <row r="56" spans="1:28" x14ac:dyDescent="0.35">
      <c r="A56" s="71"/>
      <c r="B56" s="71"/>
      <c r="C56" s="112"/>
      <c r="D56" s="57"/>
      <c r="E56" s="34">
        <v>49</v>
      </c>
      <c r="F56" s="150">
        <f t="shared" si="1"/>
        <v>48</v>
      </c>
      <c r="G56" s="58">
        <f t="shared" si="18"/>
        <v>1</v>
      </c>
      <c r="H56" s="58">
        <f t="shared" si="2"/>
        <v>4</v>
      </c>
      <c r="I56" s="59">
        <f t="shared" si="0"/>
        <v>2030</v>
      </c>
      <c r="J56" s="19">
        <f t="shared" si="3"/>
        <v>1</v>
      </c>
      <c r="K56" s="60">
        <f t="shared" si="16"/>
        <v>47574</v>
      </c>
      <c r="L56" s="61">
        <f t="shared" si="17"/>
        <v>31</v>
      </c>
      <c r="M56" s="133">
        <f ca="1">IF(OR(F56&gt;$C$15, F56=0),0, 1*(1/(1+$C$30)^SUM(OFFSET($L$8, IF(F56=0, 1, 0), 0):L56)))*J56</f>
        <v>0.60766522033814585</v>
      </c>
      <c r="N56" s="121">
        <f t="shared" ca="1" si="19"/>
        <v>3080.2682032926909</v>
      </c>
      <c r="O56" s="63">
        <f t="shared" ca="1" si="4"/>
        <v>221.99189672312485</v>
      </c>
      <c r="P56" s="63">
        <f t="shared" ca="1" si="5"/>
        <v>30.21</v>
      </c>
      <c r="Q56" s="63">
        <f t="shared" ca="1" si="6"/>
        <v>2.3881032768751438</v>
      </c>
      <c r="R56" s="132">
        <f t="shared" ca="1" si="7"/>
        <v>254.59</v>
      </c>
      <c r="S56" s="63">
        <f t="shared" si="8"/>
        <v>0</v>
      </c>
      <c r="T56" s="62">
        <f t="shared" ca="1" si="9"/>
        <v>254.59</v>
      </c>
      <c r="U56" s="43"/>
      <c r="V56" s="43"/>
      <c r="W56" s="43"/>
      <c r="X56" s="43"/>
      <c r="Y56" s="43"/>
      <c r="AA56" s="55">
        <f t="shared" si="14"/>
        <v>48</v>
      </c>
      <c r="AB56" s="54">
        <f t="shared" ca="1" si="15"/>
        <v>-254.59</v>
      </c>
    </row>
    <row r="57" spans="1:28" x14ac:dyDescent="0.35">
      <c r="A57" s="71"/>
      <c r="B57" s="71"/>
      <c r="C57" s="112"/>
      <c r="D57" s="57"/>
      <c r="E57" s="34">
        <v>50</v>
      </c>
      <c r="F57" s="150">
        <f t="shared" si="1"/>
        <v>49</v>
      </c>
      <c r="G57" s="58">
        <f t="shared" si="18"/>
        <v>1</v>
      </c>
      <c r="H57" s="58">
        <f t="shared" si="2"/>
        <v>5</v>
      </c>
      <c r="I57" s="59">
        <f t="shared" si="0"/>
        <v>2030</v>
      </c>
      <c r="J57" s="19">
        <f t="shared" si="3"/>
        <v>1</v>
      </c>
      <c r="K57" s="60">
        <f t="shared" si="16"/>
        <v>47604</v>
      </c>
      <c r="L57" s="61">
        <f t="shared" si="17"/>
        <v>30</v>
      </c>
      <c r="M57" s="133">
        <f ca="1">IF(OR(F57&gt;$C$15, F57=0),0, 1*(1/(1+$C$30)^SUM(OFFSET($L$8, IF(F57=0, 1, 0), 0):L57)))*J57</f>
        <v>0.60150651963480239</v>
      </c>
      <c r="N57" s="121">
        <f t="shared" ca="1" si="19"/>
        <v>2858.2763065695663</v>
      </c>
      <c r="O57" s="63">
        <f t="shared" ca="1" si="4"/>
        <v>225.32551549485066</v>
      </c>
      <c r="P57" s="63">
        <f t="shared" ca="1" si="5"/>
        <v>27.12</v>
      </c>
      <c r="Q57" s="63">
        <f t="shared" ca="1" si="6"/>
        <v>2.1444845051493338</v>
      </c>
      <c r="R57" s="132">
        <f t="shared" ca="1" si="7"/>
        <v>254.59</v>
      </c>
      <c r="S57" s="63">
        <f t="shared" si="8"/>
        <v>0</v>
      </c>
      <c r="T57" s="62">
        <f t="shared" ca="1" si="9"/>
        <v>254.59</v>
      </c>
      <c r="U57" s="43"/>
      <c r="V57" s="43"/>
      <c r="W57" s="43"/>
      <c r="X57" s="43"/>
      <c r="Y57" s="43"/>
      <c r="AA57" s="55">
        <f t="shared" si="14"/>
        <v>49</v>
      </c>
      <c r="AB57" s="54">
        <f t="shared" ca="1" si="15"/>
        <v>-254.59</v>
      </c>
    </row>
    <row r="58" spans="1:28" x14ac:dyDescent="0.35">
      <c r="A58" s="71"/>
      <c r="B58" s="71"/>
      <c r="C58" s="112"/>
      <c r="D58" s="57"/>
      <c r="E58" s="34">
        <v>51</v>
      </c>
      <c r="F58" s="150">
        <f t="shared" si="1"/>
        <v>50</v>
      </c>
      <c r="G58" s="58">
        <f t="shared" si="18"/>
        <v>1</v>
      </c>
      <c r="H58" s="58">
        <f t="shared" si="2"/>
        <v>6</v>
      </c>
      <c r="I58" s="59">
        <f t="shared" si="0"/>
        <v>2030</v>
      </c>
      <c r="J58" s="19">
        <f t="shared" si="3"/>
        <v>1</v>
      </c>
      <c r="K58" s="60">
        <f t="shared" si="16"/>
        <v>47635</v>
      </c>
      <c r="L58" s="61">
        <f t="shared" si="17"/>
        <v>31</v>
      </c>
      <c r="M58" s="133">
        <f ca="1">IF(OR(F58&gt;$C$15, F58=0),0, 1*(1/(1+$C$30)^SUM(OFFSET($L$8, IF(F58=0, 1, 0), 0):L58)))*J58</f>
        <v>0.59520809568139244</v>
      </c>
      <c r="N58" s="121">
        <f t="shared" ca="1" si="19"/>
        <v>2632.9507910747157</v>
      </c>
      <c r="O58" s="63">
        <f t="shared" ca="1" si="4"/>
        <v>226.72869775063901</v>
      </c>
      <c r="P58" s="63">
        <f t="shared" ca="1" si="5"/>
        <v>25.82</v>
      </c>
      <c r="Q58" s="63">
        <f t="shared" ca="1" si="6"/>
        <v>2.0413022493609985</v>
      </c>
      <c r="R58" s="132">
        <f t="shared" ca="1" si="7"/>
        <v>254.59</v>
      </c>
      <c r="S58" s="63">
        <f t="shared" si="8"/>
        <v>0</v>
      </c>
      <c r="T58" s="62">
        <f t="shared" ca="1" si="9"/>
        <v>254.59</v>
      </c>
      <c r="U58" s="43"/>
      <c r="V58" s="43"/>
      <c r="W58" s="43"/>
      <c r="X58" s="43"/>
      <c r="Y58" s="43"/>
      <c r="AA58" s="55">
        <f t="shared" si="14"/>
        <v>50</v>
      </c>
      <c r="AB58" s="54">
        <f t="shared" ca="1" si="15"/>
        <v>-254.59</v>
      </c>
    </row>
    <row r="59" spans="1:28" x14ac:dyDescent="0.35">
      <c r="A59" s="71"/>
      <c r="B59" s="71"/>
      <c r="C59" s="112"/>
      <c r="D59" s="57"/>
      <c r="E59" s="34">
        <v>52</v>
      </c>
      <c r="F59" s="150">
        <f t="shared" si="1"/>
        <v>51</v>
      </c>
      <c r="G59" s="58">
        <f t="shared" si="18"/>
        <v>1</v>
      </c>
      <c r="H59" s="58">
        <f t="shared" si="2"/>
        <v>7</v>
      </c>
      <c r="I59" s="59">
        <f t="shared" si="0"/>
        <v>2030</v>
      </c>
      <c r="J59" s="19">
        <f t="shared" si="3"/>
        <v>1</v>
      </c>
      <c r="K59" s="60">
        <f t="shared" si="16"/>
        <v>47665</v>
      </c>
      <c r="L59" s="61">
        <f t="shared" si="17"/>
        <v>30</v>
      </c>
      <c r="M59" s="133">
        <f ca="1">IF(OR(F59&gt;$C$15, F59=0),0, 1*(1/(1+$C$30)^SUM(OFFSET($L$8, IF(F59=0, 1, 0), 0):L59)))*J59</f>
        <v>0.5891756482171967</v>
      </c>
      <c r="N59" s="121">
        <f t="shared" ca="1" si="19"/>
        <v>2406.2220933240765</v>
      </c>
      <c r="O59" s="63">
        <f t="shared" ca="1" si="4"/>
        <v>229.95467908570583</v>
      </c>
      <c r="P59" s="63">
        <f t="shared" ca="1" si="5"/>
        <v>22.83</v>
      </c>
      <c r="Q59" s="63">
        <f t="shared" ca="1" si="6"/>
        <v>1.8053209142941502</v>
      </c>
      <c r="R59" s="132">
        <f t="shared" ca="1" si="7"/>
        <v>254.59</v>
      </c>
      <c r="S59" s="63">
        <f t="shared" si="8"/>
        <v>0</v>
      </c>
      <c r="T59" s="62">
        <f t="shared" ca="1" si="9"/>
        <v>254.58999999999997</v>
      </c>
      <c r="U59" s="43"/>
      <c r="V59" s="43"/>
      <c r="W59" s="43"/>
      <c r="X59" s="43"/>
      <c r="Y59" s="43"/>
      <c r="AA59" s="55">
        <f t="shared" si="14"/>
        <v>51</v>
      </c>
      <c r="AB59" s="54">
        <f t="shared" ca="1" si="15"/>
        <v>-254.58999999999997</v>
      </c>
    </row>
    <row r="60" spans="1:28" x14ac:dyDescent="0.35">
      <c r="A60" s="71"/>
      <c r="B60" s="71"/>
      <c r="C60" s="112"/>
      <c r="D60" s="57"/>
      <c r="E60" s="34">
        <v>53</v>
      </c>
      <c r="F60" s="150">
        <f t="shared" si="1"/>
        <v>52</v>
      </c>
      <c r="G60" s="58">
        <f t="shared" si="18"/>
        <v>1</v>
      </c>
      <c r="H60" s="58">
        <f t="shared" si="2"/>
        <v>8</v>
      </c>
      <c r="I60" s="59">
        <f t="shared" si="0"/>
        <v>2030</v>
      </c>
      <c r="J60" s="19">
        <f t="shared" si="3"/>
        <v>1</v>
      </c>
      <c r="K60" s="60">
        <f t="shared" si="16"/>
        <v>47696</v>
      </c>
      <c r="L60" s="61">
        <f t="shared" si="17"/>
        <v>31</v>
      </c>
      <c r="M60" s="133">
        <f ca="1">IF(OR(F60&gt;$C$15, F60=0),0, 1*(1/(1+$C$30)^SUM(OFFSET($L$8, IF(F60=0, 1, 0), 0):L60)))*J60</f>
        <v>0.58300634182671907</v>
      </c>
      <c r="N60" s="121">
        <f t="shared" ca="1" si="19"/>
        <v>2176.2674142383707</v>
      </c>
      <c r="O60" s="63">
        <f t="shared" ca="1" si="4"/>
        <v>231.56276012337378</v>
      </c>
      <c r="P60" s="63">
        <f t="shared" ca="1" si="5"/>
        <v>21.34</v>
      </c>
      <c r="Q60" s="63">
        <f t="shared" ca="1" si="6"/>
        <v>1.6872398766262269</v>
      </c>
      <c r="R60" s="132">
        <f t="shared" ca="1" si="7"/>
        <v>254.59</v>
      </c>
      <c r="S60" s="63">
        <f t="shared" si="8"/>
        <v>0</v>
      </c>
      <c r="T60" s="62">
        <f t="shared" ca="1" si="9"/>
        <v>254.59</v>
      </c>
      <c r="U60" s="43"/>
      <c r="V60" s="43"/>
      <c r="W60" s="43"/>
      <c r="X60" s="43"/>
      <c r="Y60" s="43"/>
      <c r="AA60" s="55">
        <f t="shared" si="14"/>
        <v>52</v>
      </c>
      <c r="AB60" s="54">
        <f t="shared" ca="1" si="15"/>
        <v>-254.59</v>
      </c>
    </row>
    <row r="61" spans="1:28" x14ac:dyDescent="0.35">
      <c r="A61" s="71"/>
      <c r="B61" s="71"/>
      <c r="C61" s="112"/>
      <c r="D61" s="57"/>
      <c r="E61" s="34">
        <v>54</v>
      </c>
      <c r="F61" s="150">
        <f t="shared" si="1"/>
        <v>53</v>
      </c>
      <c r="G61" s="58">
        <f t="shared" si="18"/>
        <v>1</v>
      </c>
      <c r="H61" s="58">
        <f t="shared" si="2"/>
        <v>9</v>
      </c>
      <c r="I61" s="59">
        <f t="shared" si="0"/>
        <v>2030</v>
      </c>
      <c r="J61" s="19">
        <f t="shared" si="3"/>
        <v>1</v>
      </c>
      <c r="K61" s="60">
        <f t="shared" si="16"/>
        <v>47727</v>
      </c>
      <c r="L61" s="61">
        <f t="shared" si="17"/>
        <v>31</v>
      </c>
      <c r="M61" s="133">
        <f ca="1">IF(OR(F61&gt;$C$15, F61=0),0, 1*(1/(1+$C$30)^SUM(OFFSET($L$8, IF(F61=0, 1, 0), 0):L61)))*J61</f>
        <v>0.57690163474793188</v>
      </c>
      <c r="N61" s="121">
        <f t="shared" ca="1" si="19"/>
        <v>1944.7046541149971</v>
      </c>
      <c r="O61" s="63">
        <f t="shared" ca="1" si="4"/>
        <v>234.01228857666294</v>
      </c>
      <c r="P61" s="63">
        <f t="shared" ca="1" si="5"/>
        <v>19.07</v>
      </c>
      <c r="Q61" s="63">
        <f t="shared" ca="1" si="6"/>
        <v>1.5077114233370783</v>
      </c>
      <c r="R61" s="132">
        <f t="shared" ca="1" si="7"/>
        <v>254.59</v>
      </c>
      <c r="S61" s="63">
        <f t="shared" si="8"/>
        <v>0</v>
      </c>
      <c r="T61" s="62">
        <f t="shared" ca="1" si="9"/>
        <v>254.59</v>
      </c>
      <c r="U61" s="43"/>
      <c r="V61" s="43"/>
      <c r="W61" s="43"/>
      <c r="X61" s="43"/>
      <c r="Y61" s="43"/>
      <c r="AA61" s="55">
        <f t="shared" si="14"/>
        <v>53</v>
      </c>
      <c r="AB61" s="54">
        <f t="shared" ca="1" si="15"/>
        <v>-254.59</v>
      </c>
    </row>
    <row r="62" spans="1:28" x14ac:dyDescent="0.35">
      <c r="A62" s="71"/>
      <c r="B62" s="71"/>
      <c r="C62" s="112"/>
      <c r="D62" s="57"/>
      <c r="E62" s="34">
        <v>55</v>
      </c>
      <c r="F62" s="150">
        <f t="shared" si="1"/>
        <v>54</v>
      </c>
      <c r="G62" s="58">
        <f t="shared" si="18"/>
        <v>1</v>
      </c>
      <c r="H62" s="58">
        <f t="shared" si="2"/>
        <v>10</v>
      </c>
      <c r="I62" s="59">
        <f t="shared" si="0"/>
        <v>2030</v>
      </c>
      <c r="J62" s="19">
        <f t="shared" si="3"/>
        <v>1</v>
      </c>
      <c r="K62" s="60">
        <f t="shared" si="16"/>
        <v>47757</v>
      </c>
      <c r="L62" s="61">
        <f t="shared" si="17"/>
        <v>30</v>
      </c>
      <c r="M62" s="133">
        <f ca="1">IF(OR(F62&gt;$C$15, F62=0),0, 1*(1/(1+$C$30)^SUM(OFFSET($L$8, IF(F62=0, 1, 0), 0):L62)))*J62</f>
        <v>0.57105472367787746</v>
      </c>
      <c r="N62" s="121">
        <f t="shared" ca="1" si="19"/>
        <v>1710.6923655383341</v>
      </c>
      <c r="O62" s="63">
        <f t="shared" ca="1" si="4"/>
        <v>237.07651552281973</v>
      </c>
      <c r="P62" s="63">
        <f t="shared" ca="1" si="5"/>
        <v>16.23</v>
      </c>
      <c r="Q62" s="63">
        <f t="shared" ca="1" si="6"/>
        <v>1.2834844771802787</v>
      </c>
      <c r="R62" s="132">
        <f t="shared" ca="1" si="7"/>
        <v>254.59</v>
      </c>
      <c r="S62" s="63">
        <f t="shared" si="8"/>
        <v>0</v>
      </c>
      <c r="T62" s="62">
        <f t="shared" ca="1" si="9"/>
        <v>254.59</v>
      </c>
      <c r="U62" s="43"/>
      <c r="V62" s="43"/>
      <c r="W62" s="43"/>
      <c r="X62" s="43"/>
      <c r="Y62" s="43"/>
      <c r="AA62" s="55">
        <f t="shared" si="14"/>
        <v>54</v>
      </c>
      <c r="AB62" s="54">
        <f t="shared" ca="1" si="15"/>
        <v>-254.59</v>
      </c>
    </row>
    <row r="63" spans="1:28" x14ac:dyDescent="0.35">
      <c r="A63" s="71"/>
      <c r="B63" s="71"/>
      <c r="C63" s="112"/>
      <c r="D63" s="57"/>
      <c r="E63" s="34">
        <v>56</v>
      </c>
      <c r="F63" s="150">
        <f t="shared" si="1"/>
        <v>55</v>
      </c>
      <c r="G63" s="58">
        <f t="shared" si="18"/>
        <v>1</v>
      </c>
      <c r="H63" s="58">
        <f t="shared" si="2"/>
        <v>11</v>
      </c>
      <c r="I63" s="59">
        <f t="shared" si="0"/>
        <v>2030</v>
      </c>
      <c r="J63" s="19">
        <f t="shared" si="3"/>
        <v>1</v>
      </c>
      <c r="K63" s="60">
        <f t="shared" si="16"/>
        <v>47788</v>
      </c>
      <c r="L63" s="61">
        <f t="shared" si="17"/>
        <v>31</v>
      </c>
      <c r="M63" s="133">
        <f ca="1">IF(OR(F63&gt;$C$15, F63=0),0, 1*(1/(1+$C$30)^SUM(OFFSET($L$8, IF(F63=0, 1, 0), 0):L63)))*J63</f>
        <v>0.5650751629700328</v>
      </c>
      <c r="N63" s="121">
        <f t="shared" ca="1" si="19"/>
        <v>1473.6158500155143</v>
      </c>
      <c r="O63" s="63">
        <f t="shared" ca="1" si="4"/>
        <v>238.99751934311587</v>
      </c>
      <c r="P63" s="63">
        <f t="shared" ca="1" si="5"/>
        <v>14.45</v>
      </c>
      <c r="Q63" s="63">
        <f t="shared" ca="1" si="6"/>
        <v>1.1424806568841521</v>
      </c>
      <c r="R63" s="132">
        <f t="shared" ca="1" si="7"/>
        <v>254.59</v>
      </c>
      <c r="S63" s="63">
        <f t="shared" si="8"/>
        <v>0</v>
      </c>
      <c r="T63" s="62">
        <f t="shared" ca="1" si="9"/>
        <v>254.59</v>
      </c>
      <c r="U63" s="43"/>
      <c r="V63" s="43"/>
      <c r="W63" s="43"/>
      <c r="X63" s="43"/>
      <c r="Y63" s="43"/>
      <c r="AA63" s="55">
        <f t="shared" si="14"/>
        <v>55</v>
      </c>
      <c r="AB63" s="54">
        <f t="shared" ca="1" si="15"/>
        <v>-254.59</v>
      </c>
    </row>
    <row r="64" spans="1:28" x14ac:dyDescent="0.35">
      <c r="A64" s="71"/>
      <c r="B64" s="71"/>
      <c r="C64" s="112"/>
      <c r="D64" s="57"/>
      <c r="E64" s="34">
        <v>57</v>
      </c>
      <c r="F64" s="150">
        <f t="shared" si="1"/>
        <v>56</v>
      </c>
      <c r="G64" s="58">
        <f t="shared" si="18"/>
        <v>1</v>
      </c>
      <c r="H64" s="58">
        <f t="shared" si="2"/>
        <v>12</v>
      </c>
      <c r="I64" s="59">
        <f t="shared" si="0"/>
        <v>2030</v>
      </c>
      <c r="J64" s="19">
        <f t="shared" si="3"/>
        <v>1</v>
      </c>
      <c r="K64" s="60">
        <f t="shared" si="16"/>
        <v>47818</v>
      </c>
      <c r="L64" s="61">
        <f t="shared" si="17"/>
        <v>30</v>
      </c>
      <c r="M64" s="133">
        <f ca="1">IF(OR(F64&gt;$C$15, F64=0),0, 1*(1/(1+$C$30)^SUM(OFFSET($L$8, IF(F64=0, 1, 0), 0):L64)))*J64</f>
        <v>0.55934811345798585</v>
      </c>
      <c r="N64" s="121">
        <f t="shared" ca="1" si="19"/>
        <v>1234.6183306723983</v>
      </c>
      <c r="O64" s="63">
        <f t="shared" ca="1" si="4"/>
        <v>241.94370051180326</v>
      </c>
      <c r="P64" s="63">
        <f t="shared" ca="1" si="5"/>
        <v>11.72</v>
      </c>
      <c r="Q64" s="63">
        <f t="shared" ca="1" si="6"/>
        <v>0.92629948819675301</v>
      </c>
      <c r="R64" s="132">
        <f t="shared" ca="1" si="7"/>
        <v>254.59</v>
      </c>
      <c r="S64" s="63">
        <f t="shared" si="8"/>
        <v>0</v>
      </c>
      <c r="T64" s="62">
        <f t="shared" ca="1" si="9"/>
        <v>254.59</v>
      </c>
      <c r="U64" s="43"/>
      <c r="V64" s="43"/>
      <c r="W64" s="43"/>
      <c r="X64" s="43"/>
      <c r="Y64" s="43"/>
      <c r="AA64" s="55">
        <f t="shared" si="14"/>
        <v>56</v>
      </c>
      <c r="AB64" s="54">
        <f t="shared" ca="1" si="15"/>
        <v>-254.59</v>
      </c>
    </row>
    <row r="65" spans="1:28" x14ac:dyDescent="0.35">
      <c r="A65" s="71"/>
      <c r="B65" s="71"/>
      <c r="C65" s="112"/>
      <c r="D65" s="57"/>
      <c r="E65" s="34">
        <v>58</v>
      </c>
      <c r="F65" s="150">
        <f t="shared" si="1"/>
        <v>57</v>
      </c>
      <c r="G65" s="58">
        <f t="shared" si="18"/>
        <v>1</v>
      </c>
      <c r="H65" s="58">
        <f t="shared" si="2"/>
        <v>1</v>
      </c>
      <c r="I65" s="59">
        <f t="shared" si="0"/>
        <v>2031</v>
      </c>
      <c r="J65" s="19">
        <f t="shared" si="3"/>
        <v>1</v>
      </c>
      <c r="K65" s="60">
        <f t="shared" si="16"/>
        <v>47849</v>
      </c>
      <c r="L65" s="61">
        <f t="shared" si="17"/>
        <v>31</v>
      </c>
      <c r="M65" s="133">
        <f ca="1">IF(OR(F65&gt;$C$15, F65=0),0, 1*(1/(1+$C$30)^SUM(OFFSET($L$8, IF(F65=0, 1, 0), 0):L65)))*J65</f>
        <v>0.55349113362302527</v>
      </c>
      <c r="N65" s="121">
        <f t="shared" ca="1" si="19"/>
        <v>992.67463016059503</v>
      </c>
      <c r="O65" s="63">
        <f t="shared" ca="1" si="4"/>
        <v>244.09038859582967</v>
      </c>
      <c r="P65" s="63">
        <f t="shared" ca="1" si="5"/>
        <v>9.73</v>
      </c>
      <c r="Q65" s="63">
        <f t="shared" ca="1" si="6"/>
        <v>0.76961140417034013</v>
      </c>
      <c r="R65" s="132">
        <f t="shared" ca="1" si="7"/>
        <v>254.59</v>
      </c>
      <c r="S65" s="63">
        <f t="shared" si="8"/>
        <v>0</v>
      </c>
      <c r="T65" s="62">
        <f t="shared" ca="1" si="9"/>
        <v>254.59</v>
      </c>
      <c r="U65" s="43"/>
      <c r="V65" s="43"/>
      <c r="W65" s="43"/>
      <c r="X65" s="43"/>
      <c r="Y65" s="43"/>
      <c r="AA65" s="55">
        <f t="shared" si="14"/>
        <v>57</v>
      </c>
      <c r="AB65" s="54">
        <f t="shared" ca="1" si="15"/>
        <v>-254.59</v>
      </c>
    </row>
    <row r="66" spans="1:28" x14ac:dyDescent="0.35">
      <c r="A66" s="71"/>
      <c r="B66" s="71"/>
      <c r="C66" s="112"/>
      <c r="D66" s="57"/>
      <c r="E66" s="34">
        <v>59</v>
      </c>
      <c r="F66" s="150">
        <f t="shared" si="1"/>
        <v>58</v>
      </c>
      <c r="G66" s="58">
        <f t="shared" si="18"/>
        <v>1</v>
      </c>
      <c r="H66" s="58">
        <f t="shared" si="2"/>
        <v>2</v>
      </c>
      <c r="I66" s="59">
        <f t="shared" si="0"/>
        <v>2031</v>
      </c>
      <c r="J66" s="19">
        <f t="shared" si="3"/>
        <v>1</v>
      </c>
      <c r="K66" s="60">
        <f t="shared" si="16"/>
        <v>47880</v>
      </c>
      <c r="L66" s="61">
        <f t="shared" si="17"/>
        <v>31</v>
      </c>
      <c r="M66" s="133">
        <f ca="1">IF(OR(F66&gt;$C$15, F66=0),0, 1*(1/(1+$C$30)^SUM(OFFSET($L$8, IF(F66=0, 1, 0), 0):L66)))*J66</f>
        <v>0.54769548270285251</v>
      </c>
      <c r="N66" s="121">
        <f t="shared" ca="1" si="19"/>
        <v>748.58424156476531</v>
      </c>
      <c r="O66" s="63">
        <f t="shared" ca="1" si="4"/>
        <v>246.66962960290701</v>
      </c>
      <c r="P66" s="63">
        <f t="shared" ca="1" si="5"/>
        <v>7.34</v>
      </c>
      <c r="Q66" s="63">
        <f t="shared" ca="1" si="6"/>
        <v>0.58037039709299665</v>
      </c>
      <c r="R66" s="132">
        <f t="shared" ca="1" si="7"/>
        <v>254.59</v>
      </c>
      <c r="S66" s="63">
        <f t="shared" si="8"/>
        <v>0</v>
      </c>
      <c r="T66" s="62">
        <f t="shared" ca="1" si="9"/>
        <v>254.59</v>
      </c>
      <c r="U66" s="43"/>
      <c r="V66" s="43"/>
      <c r="W66" s="43"/>
      <c r="X66" s="43"/>
      <c r="Y66" s="43"/>
      <c r="AA66" s="55">
        <f t="shared" si="14"/>
        <v>58</v>
      </c>
      <c r="AB66" s="54">
        <f t="shared" ca="1" si="15"/>
        <v>-254.59</v>
      </c>
    </row>
    <row r="67" spans="1:28" x14ac:dyDescent="0.35">
      <c r="A67" s="71"/>
      <c r="B67" s="71"/>
      <c r="C67" s="112"/>
      <c r="D67" s="57"/>
      <c r="E67" s="34">
        <v>60</v>
      </c>
      <c r="F67" s="150">
        <f t="shared" si="1"/>
        <v>59</v>
      </c>
      <c r="G67" s="58">
        <f t="shared" si="18"/>
        <v>1</v>
      </c>
      <c r="H67" s="58">
        <f t="shared" si="2"/>
        <v>3</v>
      </c>
      <c r="I67" s="59">
        <f t="shared" si="0"/>
        <v>2031</v>
      </c>
      <c r="J67" s="19">
        <f t="shared" si="3"/>
        <v>1</v>
      </c>
      <c r="K67" s="60">
        <f t="shared" si="16"/>
        <v>47908</v>
      </c>
      <c r="L67" s="61">
        <f t="shared" si="17"/>
        <v>28</v>
      </c>
      <c r="M67" s="133">
        <f ca="1">IF(OR(F67&gt;$C$15, F67=0),0, 1*(1/(1+$C$30)^SUM(OFFSET($L$8, IF(F67=0, 1, 0), 0):L67)))*J67</f>
        <v>0.54251288043938384</v>
      </c>
      <c r="N67" s="121">
        <f t="shared" ca="1" si="19"/>
        <v>501.91461196185833</v>
      </c>
      <c r="O67" s="63">
        <f t="shared" ca="1" si="4"/>
        <v>249.798541168604</v>
      </c>
      <c r="P67" s="63">
        <f t="shared" ca="1" si="5"/>
        <v>4.4400000000000004</v>
      </c>
      <c r="Q67" s="63">
        <f t="shared" ca="1" si="6"/>
        <v>0.3514588313959961</v>
      </c>
      <c r="R67" s="132">
        <f t="shared" ca="1" si="7"/>
        <v>254.59</v>
      </c>
      <c r="S67" s="63">
        <f t="shared" si="8"/>
        <v>0</v>
      </c>
      <c r="T67" s="62">
        <f t="shared" ca="1" si="9"/>
        <v>254.59</v>
      </c>
      <c r="U67" s="43"/>
      <c r="V67" s="43"/>
      <c r="W67" s="43"/>
      <c r="X67" s="43"/>
      <c r="Y67" s="43"/>
      <c r="AA67" s="55">
        <f t="shared" si="14"/>
        <v>59</v>
      </c>
      <c r="AB67" s="54">
        <f t="shared" ca="1" si="15"/>
        <v>-254.59</v>
      </c>
    </row>
    <row r="68" spans="1:28" x14ac:dyDescent="0.35">
      <c r="A68" s="71"/>
      <c r="B68" s="71"/>
      <c r="C68" s="112"/>
      <c r="D68" s="57"/>
      <c r="E68" s="34">
        <v>61</v>
      </c>
      <c r="F68" s="150">
        <f t="shared" si="1"/>
        <v>60</v>
      </c>
      <c r="G68" s="58">
        <f t="shared" si="18"/>
        <v>1</v>
      </c>
      <c r="H68" s="58">
        <f t="shared" si="2"/>
        <v>4</v>
      </c>
      <c r="I68" s="59">
        <f t="shared" si="0"/>
        <v>2031</v>
      </c>
      <c r="J68" s="19">
        <f t="shared" si="3"/>
        <v>1</v>
      </c>
      <c r="K68" s="60">
        <f t="shared" si="16"/>
        <v>47939</v>
      </c>
      <c r="L68" s="61">
        <f t="shared" si="17"/>
        <v>31</v>
      </c>
      <c r="M68" s="133">
        <f ca="1">IF(OR(F68&gt;$C$15, F68=0),0, 1*(1/(1+$C$30)^SUM(OFFSET($L$8, IF(F68=0, 1, 0), 0):L68)))*J68</f>
        <v>0.53683218370600949</v>
      </c>
      <c r="N68" s="121">
        <f t="shared" ca="1" si="19"/>
        <v>252.11607079325432</v>
      </c>
      <c r="O68" s="63">
        <f t="shared" ca="1" si="4"/>
        <v>252.11607079325432</v>
      </c>
      <c r="P68" s="63">
        <f t="shared" ca="1" si="5"/>
        <v>2.4700000000000002</v>
      </c>
      <c r="Q68" s="63">
        <f t="shared" ca="1" si="6"/>
        <v>0.19546324380800878</v>
      </c>
      <c r="R68" s="132">
        <f t="shared" ca="1" si="7"/>
        <v>254.78</v>
      </c>
      <c r="S68" s="63">
        <f t="shared" si="8"/>
        <v>0</v>
      </c>
      <c r="T68" s="62">
        <f t="shared" ca="1" si="9"/>
        <v>254.78153403706233</v>
      </c>
      <c r="U68" s="43"/>
      <c r="V68" s="43"/>
      <c r="W68" s="43"/>
      <c r="X68" s="43"/>
      <c r="Y68" s="43"/>
      <c r="AA68" s="55">
        <f t="shared" si="14"/>
        <v>60</v>
      </c>
      <c r="AB68" s="54">
        <f t="shared" ca="1" si="15"/>
        <v>-254.78153403706233</v>
      </c>
    </row>
    <row r="69" spans="1:28" x14ac:dyDescent="0.35">
      <c r="A69" s="71"/>
      <c r="B69" s="71"/>
      <c r="C69" s="112"/>
      <c r="D69" s="57"/>
      <c r="E69" s="34">
        <v>62</v>
      </c>
      <c r="F69" s="150">
        <f t="shared" si="1"/>
        <v>61</v>
      </c>
      <c r="G69" s="58">
        <f t="shared" si="18"/>
        <v>0</v>
      </c>
      <c r="H69" s="58">
        <f t="shared" si="2"/>
        <v>0</v>
      </c>
      <c r="I69" s="59">
        <f t="shared" si="0"/>
        <v>0</v>
      </c>
      <c r="J69" s="19">
        <f t="shared" si="3"/>
        <v>1</v>
      </c>
      <c r="K69" s="60">
        <f t="shared" si="16"/>
        <v>47969</v>
      </c>
      <c r="L69" s="61">
        <f t="shared" si="17"/>
        <v>0</v>
      </c>
      <c r="M69" s="133">
        <f ca="1">IF(OR(F69&gt;$C$15, F69=0),0, 1*(1/(1+$C$30)^SUM(OFFSET($L$8, IF(F69=0, 1, 0), 0):L69)))*J69</f>
        <v>0</v>
      </c>
      <c r="N69" s="121">
        <f t="shared" ca="1" si="19"/>
        <v>0</v>
      </c>
      <c r="O69" s="63">
        <f t="shared" ca="1" si="4"/>
        <v>0</v>
      </c>
      <c r="P69" s="63">
        <f t="shared" ca="1" si="5"/>
        <v>0</v>
      </c>
      <c r="Q69" s="63">
        <f t="shared" ca="1" si="6"/>
        <v>0</v>
      </c>
      <c r="R69" s="132">
        <f t="shared" ca="1" si="7"/>
        <v>0</v>
      </c>
      <c r="S69" s="63">
        <f t="shared" si="8"/>
        <v>0</v>
      </c>
      <c r="T69" s="62">
        <f t="shared" ca="1" si="9"/>
        <v>0</v>
      </c>
      <c r="U69" s="43"/>
      <c r="V69" s="43"/>
      <c r="W69" s="43"/>
      <c r="X69" s="43"/>
      <c r="Y69" s="43"/>
      <c r="AA69" s="55" t="str">
        <f t="shared" si="14"/>
        <v/>
      </c>
      <c r="AB69" s="54" t="str">
        <f t="shared" ca="1" si="15"/>
        <v/>
      </c>
    </row>
    <row r="70" spans="1:28" x14ac:dyDescent="0.35">
      <c r="A70" s="71"/>
      <c r="B70" s="71"/>
      <c r="C70" s="112"/>
      <c r="D70" s="57"/>
      <c r="E70" s="34">
        <v>63</v>
      </c>
      <c r="F70" s="150">
        <f t="shared" si="1"/>
        <v>62</v>
      </c>
      <c r="G70" s="58">
        <f t="shared" si="18"/>
        <v>0</v>
      </c>
      <c r="H70" s="58">
        <f t="shared" si="2"/>
        <v>0</v>
      </c>
      <c r="I70" s="59">
        <f t="shared" si="0"/>
        <v>0</v>
      </c>
      <c r="J70" s="19">
        <f t="shared" si="3"/>
        <v>1</v>
      </c>
      <c r="K70" s="60">
        <f t="shared" si="16"/>
        <v>48000</v>
      </c>
      <c r="L70" s="61">
        <f t="shared" si="17"/>
        <v>0</v>
      </c>
      <c r="M70" s="133">
        <f ca="1">IF(OR(F70&gt;$C$15, F70=0),0, 1*(1/(1+$C$30)^SUM(OFFSET($L$8, IF(F70=0, 1, 0), 0):L70)))*J70</f>
        <v>0</v>
      </c>
      <c r="N70" s="121">
        <f t="shared" ca="1" si="19"/>
        <v>0</v>
      </c>
      <c r="O70" s="63">
        <f t="shared" ca="1" si="4"/>
        <v>0</v>
      </c>
      <c r="P70" s="63">
        <f t="shared" ca="1" si="5"/>
        <v>0</v>
      </c>
      <c r="Q70" s="63">
        <f t="shared" ca="1" si="6"/>
        <v>0</v>
      </c>
      <c r="R70" s="132">
        <f t="shared" ca="1" si="7"/>
        <v>0</v>
      </c>
      <c r="S70" s="63">
        <f t="shared" si="8"/>
        <v>0</v>
      </c>
      <c r="T70" s="62">
        <f t="shared" ca="1" si="9"/>
        <v>0</v>
      </c>
      <c r="U70" s="43"/>
      <c r="V70" s="43"/>
      <c r="W70" s="43"/>
      <c r="X70" s="43"/>
      <c r="Y70" s="43"/>
      <c r="AA70" s="55" t="str">
        <f t="shared" si="14"/>
        <v/>
      </c>
      <c r="AB70" s="54" t="str">
        <f t="shared" ca="1" si="15"/>
        <v/>
      </c>
    </row>
    <row r="71" spans="1:28" x14ac:dyDescent="0.35">
      <c r="A71" s="71"/>
      <c r="B71" s="71"/>
      <c r="C71" s="112"/>
      <c r="D71" s="57"/>
      <c r="E71" s="34">
        <v>64</v>
      </c>
      <c r="F71" s="150">
        <f t="shared" si="1"/>
        <v>63</v>
      </c>
      <c r="G71" s="58">
        <f t="shared" si="18"/>
        <v>0</v>
      </c>
      <c r="H71" s="58">
        <f t="shared" si="2"/>
        <v>0</v>
      </c>
      <c r="I71" s="59">
        <f t="shared" si="0"/>
        <v>0</v>
      </c>
      <c r="J71" s="19">
        <f t="shared" si="3"/>
        <v>1</v>
      </c>
      <c r="K71" s="60">
        <f t="shared" si="16"/>
        <v>48030</v>
      </c>
      <c r="L71" s="61">
        <f t="shared" si="17"/>
        <v>0</v>
      </c>
      <c r="M71" s="133">
        <f ca="1">IF(OR(F71&gt;$C$15, F71=0),0, 1*(1/(1+$C$30)^SUM(OFFSET($L$8, IF(F71=0, 1, 0), 0):L71)))*J71</f>
        <v>0</v>
      </c>
      <c r="N71" s="121">
        <f t="shared" ca="1" si="19"/>
        <v>0</v>
      </c>
      <c r="O71" s="63">
        <f t="shared" ca="1" si="4"/>
        <v>0</v>
      </c>
      <c r="P71" s="63">
        <f t="shared" ca="1" si="5"/>
        <v>0</v>
      </c>
      <c r="Q71" s="63">
        <f t="shared" ca="1" si="6"/>
        <v>0</v>
      </c>
      <c r="R71" s="132">
        <f t="shared" ca="1" si="7"/>
        <v>0</v>
      </c>
      <c r="S71" s="63">
        <f t="shared" si="8"/>
        <v>0</v>
      </c>
      <c r="T71" s="62">
        <f t="shared" ca="1" si="9"/>
        <v>0</v>
      </c>
      <c r="U71" s="43"/>
      <c r="V71" s="43"/>
      <c r="W71" s="43"/>
      <c r="X71" s="43"/>
      <c r="Y71" s="43"/>
      <c r="AA71" s="55" t="str">
        <f t="shared" si="14"/>
        <v/>
      </c>
      <c r="AB71" s="54" t="str">
        <f t="shared" ca="1" si="15"/>
        <v/>
      </c>
    </row>
    <row r="72" spans="1:28" x14ac:dyDescent="0.35">
      <c r="A72" s="71"/>
      <c r="B72" s="71"/>
      <c r="C72" s="112"/>
      <c r="D72" s="57"/>
      <c r="E72" s="34">
        <v>65</v>
      </c>
      <c r="F72" s="150">
        <f t="shared" si="1"/>
        <v>64</v>
      </c>
      <c r="G72" s="58">
        <f t="shared" si="18"/>
        <v>0</v>
      </c>
      <c r="H72" s="58">
        <f t="shared" ref="H72:H128" si="20">IF($F72=0,MONTH(K72),IF($F72=1,MONTH($C$19),IF($C$15&gt;=$F72,IF(H71=12,1,H71+1),0)))</f>
        <v>0</v>
      </c>
      <c r="I72" s="59">
        <f t="shared" ref="I72:I128" si="21">IF($F72=0,YEAR(K72),IF($F72=1,YEAR($C$19),IF($C$15&gt;=$F72,IF(H71=12,I71+1,I71),0)))</f>
        <v>0</v>
      </c>
      <c r="J72" s="19">
        <f t="shared" si="3"/>
        <v>1</v>
      </c>
      <c r="K72" s="60">
        <f t="shared" si="16"/>
        <v>48061</v>
      </c>
      <c r="L72" s="61">
        <f t="shared" si="17"/>
        <v>0</v>
      </c>
      <c r="M72" s="133">
        <f ca="1">IF(OR(F72&gt;$C$15, F72=0),0, 1*(1/(1+$C$30)^SUM(OFFSET($L$8, IF(F72=0, 1, 0), 0):L72)))*J72</f>
        <v>0</v>
      </c>
      <c r="N72" s="121">
        <f t="shared" ca="1" si="19"/>
        <v>0</v>
      </c>
      <c r="O72" s="63">
        <f t="shared" ca="1" si="4"/>
        <v>0</v>
      </c>
      <c r="P72" s="63">
        <f t="shared" ca="1" si="5"/>
        <v>0</v>
      </c>
      <c r="Q72" s="63">
        <f t="shared" ca="1" si="6"/>
        <v>0</v>
      </c>
      <c r="R72" s="132">
        <f t="shared" ca="1" si="7"/>
        <v>0</v>
      </c>
      <c r="S72" s="63">
        <f t="shared" si="8"/>
        <v>0</v>
      </c>
      <c r="T72" s="62">
        <f t="shared" ca="1" si="9"/>
        <v>0</v>
      </c>
      <c r="U72" s="43"/>
      <c r="V72" s="43"/>
      <c r="W72" s="43"/>
      <c r="X72" s="43"/>
      <c r="Y72" s="43"/>
      <c r="AA72" s="55" t="str">
        <f t="shared" si="14"/>
        <v/>
      </c>
      <c r="AB72" s="54" t="str">
        <f t="shared" ca="1" si="15"/>
        <v/>
      </c>
    </row>
    <row r="73" spans="1:28" x14ac:dyDescent="0.35">
      <c r="A73" s="71"/>
      <c r="B73" s="71"/>
      <c r="C73" s="112"/>
      <c r="D73" s="57"/>
      <c r="E73" s="34">
        <v>66</v>
      </c>
      <c r="F73" s="150">
        <f t="shared" ref="F73:F128" si="22">+IF($C$19&gt;K73,0,1+F72)</f>
        <v>65</v>
      </c>
      <c r="G73" s="58">
        <f t="shared" si="18"/>
        <v>0</v>
      </c>
      <c r="H73" s="58">
        <f t="shared" si="20"/>
        <v>0</v>
      </c>
      <c r="I73" s="59">
        <f t="shared" si="21"/>
        <v>0</v>
      </c>
      <c r="J73" s="19">
        <f t="shared" ref="J73:J128" si="23">IF($C$35=2,IF(IF(DAY(K73)&lt;=15,IF(OR(MONTH(K73)=8,MONTH(K73)=1),1,0),IF(OR(MONTH(K73)=7,MONTH(K73)=12),1,0)),2,IF(OR(F73="",F73=0),0,1)),IF(OR(F73="",F73=0),0,1))</f>
        <v>1</v>
      </c>
      <c r="K73" s="60">
        <f t="shared" si="16"/>
        <v>48092</v>
      </c>
      <c r="L73" s="61">
        <f t="shared" si="17"/>
        <v>0</v>
      </c>
      <c r="M73" s="133">
        <f ca="1">IF(OR(F73&gt;$C$15, F73=0),0, 1*(1/(1+$C$30)^SUM(OFFSET($L$8, IF(F73=0, 1, 0), 0):L73)))*J73</f>
        <v>0</v>
      </c>
      <c r="N73" s="121">
        <f t="shared" ca="1" si="19"/>
        <v>0</v>
      </c>
      <c r="O73" s="63">
        <f t="shared" ref="O73:O128" ca="1" si="24">IF(AND(F73&gt;0,F73&lt;$C$15),R73-P73-Q73, IF(AND(F73&gt;0,F73=$C$15), N73, -P73-Q73))</f>
        <v>0</v>
      </c>
      <c r="P73" s="63">
        <f t="shared" ref="P73:P128" ca="1" si="25">ROUND(N73*((1+$C$12)^(L73/30)-1),2)</f>
        <v>0</v>
      </c>
      <c r="Q73" s="63">
        <f t="shared" ref="Q73:Q128" ca="1" si="26">+N73*((1+$C$27)^(L73)-1)</f>
        <v>0</v>
      </c>
      <c r="R73" s="132">
        <f t="shared" ref="R73:R128" ca="1" si="27">ROUND(IF(AND(F73&gt;0,F73&lt;$C$15),OFFSET($N$8,IF(F73=0,1,0),0)/SUM($M$8:$M$204),IF(F73=$C$15,N73+P73+Q73,0)),2)*J73</f>
        <v>0</v>
      </c>
      <c r="S73" s="63">
        <f t="shared" ref="S73:S128" si="28">+IF(OR(F73=0,F73&gt;$C$15),0,IF(F73&lt;=$C$15,$C$39,0))</f>
        <v>0</v>
      </c>
      <c r="T73" s="62">
        <f t="shared" ref="T73:T128" ca="1" si="29">IF(F73=0,0,O73+P73+Q73+S73)</f>
        <v>0</v>
      </c>
      <c r="U73" s="43"/>
      <c r="V73" s="43"/>
      <c r="W73" s="43"/>
      <c r="X73" s="43"/>
      <c r="Y73" s="43"/>
      <c r="AA73" s="55" t="str">
        <f t="shared" ref="AA73:AA128" si="30">IF(IF(F73=0,"",F73)&gt;$C$15,"",IF(F73=0,"",F73))</f>
        <v/>
      </c>
      <c r="AB73" s="54" t="str">
        <f t="shared" ref="AB73:AB128" ca="1" si="31">IF(T73=0, "", -T73)</f>
        <v/>
      </c>
    </row>
    <row r="74" spans="1:28" x14ac:dyDescent="0.35">
      <c r="A74" s="71"/>
      <c r="B74" s="71"/>
      <c r="C74" s="112"/>
      <c r="D74" s="57"/>
      <c r="E74" s="34">
        <v>67</v>
      </c>
      <c r="F74" s="150">
        <f t="shared" si="22"/>
        <v>66</v>
      </c>
      <c r="G74" s="58">
        <f t="shared" si="18"/>
        <v>0</v>
      </c>
      <c r="H74" s="58">
        <f t="shared" si="20"/>
        <v>0</v>
      </c>
      <c r="I74" s="59">
        <f t="shared" si="21"/>
        <v>0</v>
      </c>
      <c r="J74" s="19">
        <f t="shared" si="23"/>
        <v>1</v>
      </c>
      <c r="K74" s="60">
        <f t="shared" ref="K74:K128" si="32">+EDATE(K73,1)</f>
        <v>48122</v>
      </c>
      <c r="L74" s="61">
        <f t="shared" ref="L74:L128" si="33">IF($C$15&gt;=$F74,K74-K73,0)</f>
        <v>0</v>
      </c>
      <c r="M74" s="133">
        <f ca="1">IF(OR(F74&gt;$C$15, F74=0),0, 1*(1/(1+$C$30)^SUM(OFFSET($L$8, IF(F74=0, 1, 0), 0):L74)))*J74</f>
        <v>0</v>
      </c>
      <c r="N74" s="121">
        <f t="shared" ref="N74:N128" ca="1" si="34">IF(N73-O73&lt;0.000000001,0,N73-O73)</f>
        <v>0</v>
      </c>
      <c r="O74" s="63">
        <f t="shared" ca="1" si="24"/>
        <v>0</v>
      </c>
      <c r="P74" s="63">
        <f t="shared" ca="1" si="25"/>
        <v>0</v>
      </c>
      <c r="Q74" s="63">
        <f t="shared" ca="1" si="26"/>
        <v>0</v>
      </c>
      <c r="R74" s="132">
        <f t="shared" ca="1" si="27"/>
        <v>0</v>
      </c>
      <c r="S74" s="63">
        <f t="shared" si="28"/>
        <v>0</v>
      </c>
      <c r="T74" s="62">
        <f t="shared" ca="1" si="29"/>
        <v>0</v>
      </c>
      <c r="U74" s="43"/>
      <c r="V74" s="43"/>
      <c r="W74" s="43"/>
      <c r="X74" s="43"/>
      <c r="Y74" s="43"/>
      <c r="AA74" s="55" t="str">
        <f t="shared" si="30"/>
        <v/>
      </c>
      <c r="AB74" s="54" t="str">
        <f t="shared" ca="1" si="31"/>
        <v/>
      </c>
    </row>
    <row r="75" spans="1:28" x14ac:dyDescent="0.35">
      <c r="A75" s="71"/>
      <c r="B75" s="71"/>
      <c r="C75" s="112"/>
      <c r="D75" s="57"/>
      <c r="E75" s="34">
        <v>68</v>
      </c>
      <c r="F75" s="150">
        <f t="shared" si="22"/>
        <v>67</v>
      </c>
      <c r="G75" s="58">
        <f t="shared" ref="G75:G128" si="35">IF($F75=0,DAY(K75),IF($C$15&gt;=$F75,$C$18,0))</f>
        <v>0</v>
      </c>
      <c r="H75" s="58">
        <f t="shared" si="20"/>
        <v>0</v>
      </c>
      <c r="I75" s="59">
        <f t="shared" si="21"/>
        <v>0</v>
      </c>
      <c r="J75" s="19">
        <f t="shared" si="23"/>
        <v>1</v>
      </c>
      <c r="K75" s="60">
        <f t="shared" si="32"/>
        <v>48153</v>
      </c>
      <c r="L75" s="61">
        <f t="shared" si="33"/>
        <v>0</v>
      </c>
      <c r="M75" s="133">
        <f ca="1">IF(OR(F75&gt;$C$15, F75=0),0, 1*(1/(1+$C$30)^SUM(OFFSET($L$8, IF(F75=0, 1, 0), 0):L75)))*J75</f>
        <v>0</v>
      </c>
      <c r="N75" s="121">
        <f t="shared" ca="1" si="34"/>
        <v>0</v>
      </c>
      <c r="O75" s="63">
        <f t="shared" ca="1" si="24"/>
        <v>0</v>
      </c>
      <c r="P75" s="63">
        <f t="shared" ca="1" si="25"/>
        <v>0</v>
      </c>
      <c r="Q75" s="63">
        <f t="shared" ca="1" si="26"/>
        <v>0</v>
      </c>
      <c r="R75" s="132">
        <f t="shared" ca="1" si="27"/>
        <v>0</v>
      </c>
      <c r="S75" s="63">
        <f t="shared" si="28"/>
        <v>0</v>
      </c>
      <c r="T75" s="62">
        <f t="shared" ca="1" si="29"/>
        <v>0</v>
      </c>
      <c r="U75" s="43"/>
      <c r="V75" s="43"/>
      <c r="W75" s="43"/>
      <c r="X75" s="43"/>
      <c r="Y75" s="43"/>
      <c r="AA75" s="55" t="str">
        <f t="shared" si="30"/>
        <v/>
      </c>
      <c r="AB75" s="54" t="str">
        <f t="shared" ca="1" si="31"/>
        <v/>
      </c>
    </row>
    <row r="76" spans="1:28" x14ac:dyDescent="0.35">
      <c r="A76" s="71"/>
      <c r="B76" s="71"/>
      <c r="C76" s="112"/>
      <c r="D76" s="57"/>
      <c r="E76" s="34">
        <v>69</v>
      </c>
      <c r="F76" s="150">
        <f t="shared" si="22"/>
        <v>68</v>
      </c>
      <c r="G76" s="58">
        <f t="shared" si="35"/>
        <v>0</v>
      </c>
      <c r="H76" s="58">
        <f t="shared" si="20"/>
        <v>0</v>
      </c>
      <c r="I76" s="59">
        <f t="shared" si="21"/>
        <v>0</v>
      </c>
      <c r="J76" s="19">
        <f t="shared" si="23"/>
        <v>1</v>
      </c>
      <c r="K76" s="60">
        <f t="shared" si="32"/>
        <v>48183</v>
      </c>
      <c r="L76" s="61">
        <f t="shared" si="33"/>
        <v>0</v>
      </c>
      <c r="M76" s="133">
        <f ca="1">IF(OR(F76&gt;$C$15, F76=0),0, 1*(1/(1+$C$30)^SUM(OFFSET($L$8, IF(F76=0, 1, 0), 0):L76)))*J76</f>
        <v>0</v>
      </c>
      <c r="N76" s="121">
        <f t="shared" ca="1" si="34"/>
        <v>0</v>
      </c>
      <c r="O76" s="63">
        <f t="shared" ca="1" si="24"/>
        <v>0</v>
      </c>
      <c r="P76" s="63">
        <f t="shared" ca="1" si="25"/>
        <v>0</v>
      </c>
      <c r="Q76" s="63">
        <f t="shared" ca="1" si="26"/>
        <v>0</v>
      </c>
      <c r="R76" s="132">
        <f t="shared" ca="1" si="27"/>
        <v>0</v>
      </c>
      <c r="S76" s="63">
        <f t="shared" si="28"/>
        <v>0</v>
      </c>
      <c r="T76" s="62">
        <f t="shared" ca="1" si="29"/>
        <v>0</v>
      </c>
      <c r="U76" s="43"/>
      <c r="V76" s="43"/>
      <c r="W76" s="43"/>
      <c r="X76" s="43"/>
      <c r="Y76" s="43"/>
      <c r="AA76" s="55" t="str">
        <f t="shared" si="30"/>
        <v/>
      </c>
      <c r="AB76" s="54" t="str">
        <f t="shared" ca="1" si="31"/>
        <v/>
      </c>
    </row>
    <row r="77" spans="1:28" x14ac:dyDescent="0.35">
      <c r="A77" s="71"/>
      <c r="B77" s="71"/>
      <c r="C77" s="112"/>
      <c r="D77" s="57"/>
      <c r="E77" s="34">
        <v>70</v>
      </c>
      <c r="F77" s="150">
        <f t="shared" si="22"/>
        <v>69</v>
      </c>
      <c r="G77" s="58">
        <f t="shared" si="35"/>
        <v>0</v>
      </c>
      <c r="H77" s="58">
        <f t="shared" si="20"/>
        <v>0</v>
      </c>
      <c r="I77" s="59">
        <f t="shared" si="21"/>
        <v>0</v>
      </c>
      <c r="J77" s="19">
        <f t="shared" si="23"/>
        <v>1</v>
      </c>
      <c r="K77" s="60">
        <f t="shared" si="32"/>
        <v>48214</v>
      </c>
      <c r="L77" s="61">
        <f t="shared" si="33"/>
        <v>0</v>
      </c>
      <c r="M77" s="133">
        <f ca="1">IF(OR(F77&gt;$C$15, F77=0),0, 1*(1/(1+$C$30)^SUM(OFFSET($L$8, IF(F77=0, 1, 0), 0):L77)))*J77</f>
        <v>0</v>
      </c>
      <c r="N77" s="121">
        <f t="shared" ca="1" si="34"/>
        <v>0</v>
      </c>
      <c r="O77" s="63">
        <f t="shared" ca="1" si="24"/>
        <v>0</v>
      </c>
      <c r="P77" s="63">
        <f t="shared" ca="1" si="25"/>
        <v>0</v>
      </c>
      <c r="Q77" s="63">
        <f t="shared" ca="1" si="26"/>
        <v>0</v>
      </c>
      <c r="R77" s="132">
        <f t="shared" ca="1" si="27"/>
        <v>0</v>
      </c>
      <c r="S77" s="63">
        <f t="shared" si="28"/>
        <v>0</v>
      </c>
      <c r="T77" s="62">
        <f t="shared" ca="1" si="29"/>
        <v>0</v>
      </c>
      <c r="U77" s="43"/>
      <c r="V77" s="43"/>
      <c r="W77" s="43"/>
      <c r="X77" s="43"/>
      <c r="Y77" s="43"/>
      <c r="AA77" s="55" t="str">
        <f t="shared" si="30"/>
        <v/>
      </c>
      <c r="AB77" s="54" t="str">
        <f t="shared" ca="1" si="31"/>
        <v/>
      </c>
    </row>
    <row r="78" spans="1:28" x14ac:dyDescent="0.35">
      <c r="A78" s="71"/>
      <c r="B78" s="71"/>
      <c r="C78" s="112"/>
      <c r="D78" s="57"/>
      <c r="E78" s="34">
        <v>71</v>
      </c>
      <c r="F78" s="150">
        <f t="shared" si="22"/>
        <v>70</v>
      </c>
      <c r="G78" s="58">
        <f t="shared" si="35"/>
        <v>0</v>
      </c>
      <c r="H78" s="58">
        <f t="shared" si="20"/>
        <v>0</v>
      </c>
      <c r="I78" s="59">
        <f t="shared" si="21"/>
        <v>0</v>
      </c>
      <c r="J78" s="19">
        <f t="shared" si="23"/>
        <v>1</v>
      </c>
      <c r="K78" s="60">
        <f t="shared" si="32"/>
        <v>48245</v>
      </c>
      <c r="L78" s="61">
        <f t="shared" si="33"/>
        <v>0</v>
      </c>
      <c r="M78" s="133">
        <f ca="1">IF(OR(F78&gt;$C$15, F78=0),0, 1*(1/(1+$C$30)^SUM(OFFSET($L$8, IF(F78=0, 1, 0), 0):L78)))*J78</f>
        <v>0</v>
      </c>
      <c r="N78" s="121">
        <f t="shared" ca="1" si="34"/>
        <v>0</v>
      </c>
      <c r="O78" s="63">
        <f t="shared" ca="1" si="24"/>
        <v>0</v>
      </c>
      <c r="P78" s="63">
        <f t="shared" ca="1" si="25"/>
        <v>0</v>
      </c>
      <c r="Q78" s="63">
        <f t="shared" ca="1" si="26"/>
        <v>0</v>
      </c>
      <c r="R78" s="132">
        <f t="shared" ca="1" si="27"/>
        <v>0</v>
      </c>
      <c r="S78" s="63">
        <f t="shared" si="28"/>
        <v>0</v>
      </c>
      <c r="T78" s="62">
        <f t="shared" ca="1" si="29"/>
        <v>0</v>
      </c>
      <c r="U78" s="43"/>
      <c r="V78" s="43"/>
      <c r="W78" s="43"/>
      <c r="X78" s="43"/>
      <c r="Y78" s="43"/>
      <c r="AA78" s="55" t="str">
        <f t="shared" si="30"/>
        <v/>
      </c>
      <c r="AB78" s="54" t="str">
        <f t="shared" ca="1" si="31"/>
        <v/>
      </c>
    </row>
    <row r="79" spans="1:28" x14ac:dyDescent="0.35">
      <c r="A79" s="71"/>
      <c r="B79" s="71"/>
      <c r="C79" s="112"/>
      <c r="D79" s="57"/>
      <c r="E79" s="34">
        <v>72</v>
      </c>
      <c r="F79" s="150">
        <f t="shared" si="22"/>
        <v>71</v>
      </c>
      <c r="G79" s="58">
        <f t="shared" si="35"/>
        <v>0</v>
      </c>
      <c r="H79" s="58">
        <f t="shared" si="20"/>
        <v>0</v>
      </c>
      <c r="I79" s="59">
        <f t="shared" si="21"/>
        <v>0</v>
      </c>
      <c r="J79" s="19">
        <f t="shared" si="23"/>
        <v>1</v>
      </c>
      <c r="K79" s="60">
        <f t="shared" si="32"/>
        <v>48274</v>
      </c>
      <c r="L79" s="61">
        <f t="shared" si="33"/>
        <v>0</v>
      </c>
      <c r="M79" s="133">
        <f ca="1">IF(OR(F79&gt;$C$15, F79=0),0, 1*(1/(1+$C$30)^SUM(OFFSET($L$8, IF(F79=0, 1, 0), 0):L79)))*J79</f>
        <v>0</v>
      </c>
      <c r="N79" s="121">
        <f t="shared" ca="1" si="34"/>
        <v>0</v>
      </c>
      <c r="O79" s="63">
        <f t="shared" ca="1" si="24"/>
        <v>0</v>
      </c>
      <c r="P79" s="63">
        <f t="shared" ca="1" si="25"/>
        <v>0</v>
      </c>
      <c r="Q79" s="63">
        <f t="shared" ca="1" si="26"/>
        <v>0</v>
      </c>
      <c r="R79" s="132">
        <f t="shared" ca="1" si="27"/>
        <v>0</v>
      </c>
      <c r="S79" s="63">
        <f t="shared" si="28"/>
        <v>0</v>
      </c>
      <c r="T79" s="62">
        <f t="shared" ca="1" si="29"/>
        <v>0</v>
      </c>
      <c r="U79" s="43"/>
      <c r="V79" s="43"/>
      <c r="W79" s="43"/>
      <c r="X79" s="43"/>
      <c r="Y79" s="43"/>
      <c r="AA79" s="55" t="str">
        <f t="shared" si="30"/>
        <v/>
      </c>
      <c r="AB79" s="54" t="str">
        <f t="shared" ca="1" si="31"/>
        <v/>
      </c>
    </row>
    <row r="80" spans="1:28" x14ac:dyDescent="0.35">
      <c r="A80" s="71"/>
      <c r="B80" s="71"/>
      <c r="C80" s="112"/>
      <c r="D80" s="57"/>
      <c r="E80" s="34">
        <v>73</v>
      </c>
      <c r="F80" s="150">
        <f t="shared" si="22"/>
        <v>72</v>
      </c>
      <c r="G80" s="58">
        <f t="shared" si="35"/>
        <v>0</v>
      </c>
      <c r="H80" s="58">
        <f t="shared" si="20"/>
        <v>0</v>
      </c>
      <c r="I80" s="59">
        <f t="shared" si="21"/>
        <v>0</v>
      </c>
      <c r="J80" s="19">
        <f t="shared" si="23"/>
        <v>1</v>
      </c>
      <c r="K80" s="60">
        <f t="shared" si="32"/>
        <v>48305</v>
      </c>
      <c r="L80" s="61">
        <f t="shared" si="33"/>
        <v>0</v>
      </c>
      <c r="M80" s="133">
        <f ca="1">IF(OR(F80&gt;$C$15, F80=0),0, 1*(1/(1+$C$30)^SUM(OFFSET($L$8, IF(F80=0, 1, 0), 0):L80)))*J80</f>
        <v>0</v>
      </c>
      <c r="N80" s="121">
        <f t="shared" ca="1" si="34"/>
        <v>0</v>
      </c>
      <c r="O80" s="63">
        <f t="shared" ca="1" si="24"/>
        <v>0</v>
      </c>
      <c r="P80" s="63">
        <f t="shared" ca="1" si="25"/>
        <v>0</v>
      </c>
      <c r="Q80" s="63">
        <f t="shared" ca="1" si="26"/>
        <v>0</v>
      </c>
      <c r="R80" s="132">
        <f t="shared" ca="1" si="27"/>
        <v>0</v>
      </c>
      <c r="S80" s="63">
        <f t="shared" si="28"/>
        <v>0</v>
      </c>
      <c r="T80" s="62">
        <f t="shared" ca="1" si="29"/>
        <v>0</v>
      </c>
      <c r="U80" s="43"/>
      <c r="V80" s="43"/>
      <c r="W80" s="43"/>
      <c r="X80" s="43"/>
      <c r="Y80" s="43"/>
      <c r="AA80" s="55" t="str">
        <f t="shared" si="30"/>
        <v/>
      </c>
      <c r="AB80" s="54" t="str">
        <f t="shared" ca="1" si="31"/>
        <v/>
      </c>
    </row>
    <row r="81" spans="1:28" x14ac:dyDescent="0.35">
      <c r="A81" s="71"/>
      <c r="B81" s="71"/>
      <c r="C81" s="112"/>
      <c r="D81" s="57"/>
      <c r="E81" s="34">
        <v>74</v>
      </c>
      <c r="F81" s="150">
        <f t="shared" si="22"/>
        <v>73</v>
      </c>
      <c r="G81" s="58">
        <f t="shared" si="35"/>
        <v>0</v>
      </c>
      <c r="H81" s="58">
        <f t="shared" si="20"/>
        <v>0</v>
      </c>
      <c r="I81" s="59">
        <f t="shared" si="21"/>
        <v>0</v>
      </c>
      <c r="J81" s="19">
        <f t="shared" si="23"/>
        <v>1</v>
      </c>
      <c r="K81" s="60">
        <f t="shared" si="32"/>
        <v>48335</v>
      </c>
      <c r="L81" s="61">
        <f t="shared" si="33"/>
        <v>0</v>
      </c>
      <c r="M81" s="133">
        <f ca="1">IF(OR(F81&gt;$C$15, F81=0),0, 1*(1/(1+$C$30)^SUM(OFFSET($L$8, IF(F81=0, 1, 0), 0):L81)))*J81</f>
        <v>0</v>
      </c>
      <c r="N81" s="121">
        <f t="shared" ca="1" si="34"/>
        <v>0</v>
      </c>
      <c r="O81" s="63">
        <f t="shared" ca="1" si="24"/>
        <v>0</v>
      </c>
      <c r="P81" s="63">
        <f t="shared" ca="1" si="25"/>
        <v>0</v>
      </c>
      <c r="Q81" s="63">
        <f t="shared" ca="1" si="26"/>
        <v>0</v>
      </c>
      <c r="R81" s="132">
        <f t="shared" ca="1" si="27"/>
        <v>0</v>
      </c>
      <c r="S81" s="63">
        <f t="shared" si="28"/>
        <v>0</v>
      </c>
      <c r="T81" s="62">
        <f t="shared" ca="1" si="29"/>
        <v>0</v>
      </c>
      <c r="U81" s="43"/>
      <c r="V81" s="43"/>
      <c r="W81" s="43"/>
      <c r="X81" s="43"/>
      <c r="Y81" s="43"/>
      <c r="AA81" s="55" t="str">
        <f t="shared" si="30"/>
        <v/>
      </c>
      <c r="AB81" s="54" t="str">
        <f t="shared" ca="1" si="31"/>
        <v/>
      </c>
    </row>
    <row r="82" spans="1:28" x14ac:dyDescent="0.35">
      <c r="A82" s="71"/>
      <c r="B82" s="71"/>
      <c r="C82" s="112"/>
      <c r="D82" s="57"/>
      <c r="E82" s="34">
        <v>75</v>
      </c>
      <c r="F82" s="150">
        <f t="shared" si="22"/>
        <v>74</v>
      </c>
      <c r="G82" s="58">
        <f t="shared" si="35"/>
        <v>0</v>
      </c>
      <c r="H82" s="58">
        <f t="shared" si="20"/>
        <v>0</v>
      </c>
      <c r="I82" s="59">
        <f t="shared" si="21"/>
        <v>0</v>
      </c>
      <c r="J82" s="19">
        <f t="shared" si="23"/>
        <v>1</v>
      </c>
      <c r="K82" s="60">
        <f t="shared" si="32"/>
        <v>48366</v>
      </c>
      <c r="L82" s="61">
        <f t="shared" si="33"/>
        <v>0</v>
      </c>
      <c r="M82" s="133">
        <f ca="1">IF(OR(F82&gt;$C$15, F82=0),0, 1*(1/(1+$C$30)^SUM(OFFSET($L$8, IF(F82=0, 1, 0), 0):L82)))*J82</f>
        <v>0</v>
      </c>
      <c r="N82" s="121">
        <f t="shared" ca="1" si="34"/>
        <v>0</v>
      </c>
      <c r="O82" s="63">
        <f t="shared" ca="1" si="24"/>
        <v>0</v>
      </c>
      <c r="P82" s="63">
        <f t="shared" ca="1" si="25"/>
        <v>0</v>
      </c>
      <c r="Q82" s="63">
        <f t="shared" ca="1" si="26"/>
        <v>0</v>
      </c>
      <c r="R82" s="132">
        <f t="shared" ca="1" si="27"/>
        <v>0</v>
      </c>
      <c r="S82" s="63">
        <f t="shared" si="28"/>
        <v>0</v>
      </c>
      <c r="T82" s="62">
        <f t="shared" ca="1" si="29"/>
        <v>0</v>
      </c>
      <c r="U82" s="43"/>
      <c r="V82" s="43"/>
      <c r="W82" s="43"/>
      <c r="X82" s="43"/>
      <c r="Y82" s="43"/>
      <c r="AA82" s="55" t="str">
        <f t="shared" si="30"/>
        <v/>
      </c>
      <c r="AB82" s="54" t="str">
        <f t="shared" ca="1" si="31"/>
        <v/>
      </c>
    </row>
    <row r="83" spans="1:28" x14ac:dyDescent="0.35">
      <c r="A83" s="71"/>
      <c r="B83" s="71"/>
      <c r="C83" s="112"/>
      <c r="D83" s="57"/>
      <c r="E83" s="34">
        <v>76</v>
      </c>
      <c r="F83" s="150">
        <f t="shared" si="22"/>
        <v>75</v>
      </c>
      <c r="G83" s="58">
        <f t="shared" si="35"/>
        <v>0</v>
      </c>
      <c r="H83" s="58">
        <f t="shared" si="20"/>
        <v>0</v>
      </c>
      <c r="I83" s="59">
        <f t="shared" si="21"/>
        <v>0</v>
      </c>
      <c r="J83" s="19">
        <f t="shared" si="23"/>
        <v>1</v>
      </c>
      <c r="K83" s="60">
        <f t="shared" si="32"/>
        <v>48396</v>
      </c>
      <c r="L83" s="61">
        <f t="shared" si="33"/>
        <v>0</v>
      </c>
      <c r="M83" s="133">
        <f ca="1">IF(OR(F83&gt;$C$15, F83=0),0, 1*(1/(1+$C$30)^SUM(OFFSET($L$8, IF(F83=0, 1, 0), 0):L83)))*J83</f>
        <v>0</v>
      </c>
      <c r="N83" s="121">
        <f t="shared" ca="1" si="34"/>
        <v>0</v>
      </c>
      <c r="O83" s="63">
        <f t="shared" ca="1" si="24"/>
        <v>0</v>
      </c>
      <c r="P83" s="63">
        <f t="shared" ca="1" si="25"/>
        <v>0</v>
      </c>
      <c r="Q83" s="63">
        <f t="shared" ca="1" si="26"/>
        <v>0</v>
      </c>
      <c r="R83" s="132">
        <f t="shared" ca="1" si="27"/>
        <v>0</v>
      </c>
      <c r="S83" s="63">
        <f t="shared" si="28"/>
        <v>0</v>
      </c>
      <c r="T83" s="62">
        <f t="shared" ca="1" si="29"/>
        <v>0</v>
      </c>
      <c r="U83" s="43"/>
      <c r="V83" s="43"/>
      <c r="W83" s="43"/>
      <c r="X83" s="43"/>
      <c r="Y83" s="43"/>
      <c r="AA83" s="55" t="str">
        <f t="shared" si="30"/>
        <v/>
      </c>
      <c r="AB83" s="54" t="str">
        <f t="shared" ca="1" si="31"/>
        <v/>
      </c>
    </row>
    <row r="84" spans="1:28" x14ac:dyDescent="0.35">
      <c r="A84" s="71"/>
      <c r="B84" s="71"/>
      <c r="C84" s="112"/>
      <c r="D84" s="57"/>
      <c r="E84" s="34">
        <v>77</v>
      </c>
      <c r="F84" s="150">
        <f t="shared" si="22"/>
        <v>76</v>
      </c>
      <c r="G84" s="58">
        <f t="shared" si="35"/>
        <v>0</v>
      </c>
      <c r="H84" s="58">
        <f t="shared" si="20"/>
        <v>0</v>
      </c>
      <c r="I84" s="59">
        <f t="shared" si="21"/>
        <v>0</v>
      </c>
      <c r="J84" s="19">
        <f t="shared" si="23"/>
        <v>1</v>
      </c>
      <c r="K84" s="60">
        <f t="shared" si="32"/>
        <v>48427</v>
      </c>
      <c r="L84" s="61">
        <f t="shared" si="33"/>
        <v>0</v>
      </c>
      <c r="M84" s="133">
        <f ca="1">IF(OR(F84&gt;$C$15, F84=0),0, 1*(1/(1+$C$30)^SUM(OFFSET($L$8, IF(F84=0, 1, 0), 0):L84)))*J84</f>
        <v>0</v>
      </c>
      <c r="N84" s="121">
        <f t="shared" ca="1" si="34"/>
        <v>0</v>
      </c>
      <c r="O84" s="63">
        <f t="shared" ca="1" si="24"/>
        <v>0</v>
      </c>
      <c r="P84" s="63">
        <f t="shared" ca="1" si="25"/>
        <v>0</v>
      </c>
      <c r="Q84" s="63">
        <f t="shared" ca="1" si="26"/>
        <v>0</v>
      </c>
      <c r="R84" s="132">
        <f t="shared" ca="1" si="27"/>
        <v>0</v>
      </c>
      <c r="S84" s="63">
        <f t="shared" si="28"/>
        <v>0</v>
      </c>
      <c r="T84" s="62">
        <f t="shared" ca="1" si="29"/>
        <v>0</v>
      </c>
      <c r="U84" s="43"/>
      <c r="V84" s="43"/>
      <c r="W84" s="43"/>
      <c r="X84" s="43"/>
      <c r="Y84" s="43"/>
      <c r="AA84" s="55" t="str">
        <f t="shared" si="30"/>
        <v/>
      </c>
      <c r="AB84" s="54" t="str">
        <f t="shared" ca="1" si="31"/>
        <v/>
      </c>
    </row>
    <row r="85" spans="1:28" x14ac:dyDescent="0.35">
      <c r="A85" s="71"/>
      <c r="B85" s="71"/>
      <c r="C85" s="112"/>
      <c r="D85" s="57"/>
      <c r="E85" s="34">
        <v>78</v>
      </c>
      <c r="F85" s="150">
        <f t="shared" si="22"/>
        <v>77</v>
      </c>
      <c r="G85" s="58">
        <f t="shared" si="35"/>
        <v>0</v>
      </c>
      <c r="H85" s="58">
        <f t="shared" si="20"/>
        <v>0</v>
      </c>
      <c r="I85" s="59">
        <f t="shared" si="21"/>
        <v>0</v>
      </c>
      <c r="J85" s="19">
        <f t="shared" si="23"/>
        <v>1</v>
      </c>
      <c r="K85" s="60">
        <f t="shared" si="32"/>
        <v>48458</v>
      </c>
      <c r="L85" s="61">
        <f t="shared" si="33"/>
        <v>0</v>
      </c>
      <c r="M85" s="133">
        <f ca="1">IF(OR(F85&gt;$C$15, F85=0),0, 1*(1/(1+$C$30)^SUM(OFFSET($L$8, IF(F85=0, 1, 0), 0):L85)))*J85</f>
        <v>0</v>
      </c>
      <c r="N85" s="121">
        <f t="shared" ca="1" si="34"/>
        <v>0</v>
      </c>
      <c r="O85" s="63">
        <f t="shared" ca="1" si="24"/>
        <v>0</v>
      </c>
      <c r="P85" s="63">
        <f t="shared" ca="1" si="25"/>
        <v>0</v>
      </c>
      <c r="Q85" s="63">
        <f t="shared" ca="1" si="26"/>
        <v>0</v>
      </c>
      <c r="R85" s="132">
        <f t="shared" ca="1" si="27"/>
        <v>0</v>
      </c>
      <c r="S85" s="63">
        <f t="shared" si="28"/>
        <v>0</v>
      </c>
      <c r="T85" s="62">
        <f t="shared" ca="1" si="29"/>
        <v>0</v>
      </c>
      <c r="U85" s="43"/>
      <c r="V85" s="43"/>
      <c r="W85" s="43"/>
      <c r="X85" s="43"/>
      <c r="Y85" s="43"/>
      <c r="AA85" s="55" t="str">
        <f t="shared" si="30"/>
        <v/>
      </c>
      <c r="AB85" s="54" t="str">
        <f t="shared" ca="1" si="31"/>
        <v/>
      </c>
    </row>
    <row r="86" spans="1:28" x14ac:dyDescent="0.35">
      <c r="A86" s="71"/>
      <c r="B86" s="71"/>
      <c r="C86" s="112"/>
      <c r="D86" s="57"/>
      <c r="E86" s="34">
        <v>79</v>
      </c>
      <c r="F86" s="150">
        <f t="shared" si="22"/>
        <v>78</v>
      </c>
      <c r="G86" s="58">
        <f t="shared" si="35"/>
        <v>0</v>
      </c>
      <c r="H86" s="58">
        <f t="shared" si="20"/>
        <v>0</v>
      </c>
      <c r="I86" s="59">
        <f t="shared" si="21"/>
        <v>0</v>
      </c>
      <c r="J86" s="19">
        <f t="shared" si="23"/>
        <v>1</v>
      </c>
      <c r="K86" s="60">
        <f t="shared" si="32"/>
        <v>48488</v>
      </c>
      <c r="L86" s="61">
        <f t="shared" si="33"/>
        <v>0</v>
      </c>
      <c r="M86" s="133">
        <f ca="1">IF(OR(F86&gt;$C$15, F86=0),0, 1*(1/(1+$C$30)^SUM(OFFSET($L$8, IF(F86=0, 1, 0), 0):L86)))*J86</f>
        <v>0</v>
      </c>
      <c r="N86" s="121">
        <f t="shared" ca="1" si="34"/>
        <v>0</v>
      </c>
      <c r="O86" s="63">
        <f t="shared" ca="1" si="24"/>
        <v>0</v>
      </c>
      <c r="P86" s="63">
        <f t="shared" ca="1" si="25"/>
        <v>0</v>
      </c>
      <c r="Q86" s="63">
        <f t="shared" ca="1" si="26"/>
        <v>0</v>
      </c>
      <c r="R86" s="132">
        <f t="shared" ca="1" si="27"/>
        <v>0</v>
      </c>
      <c r="S86" s="63">
        <f t="shared" si="28"/>
        <v>0</v>
      </c>
      <c r="T86" s="62">
        <f t="shared" ca="1" si="29"/>
        <v>0</v>
      </c>
      <c r="U86" s="43"/>
      <c r="V86" s="43"/>
      <c r="W86" s="43"/>
      <c r="X86" s="43"/>
      <c r="Y86" s="43"/>
      <c r="AA86" s="55" t="str">
        <f t="shared" si="30"/>
        <v/>
      </c>
      <c r="AB86" s="54" t="str">
        <f t="shared" ca="1" si="31"/>
        <v/>
      </c>
    </row>
    <row r="87" spans="1:28" x14ac:dyDescent="0.35">
      <c r="A87" s="71"/>
      <c r="B87" s="71"/>
      <c r="C87" s="112"/>
      <c r="D87" s="57"/>
      <c r="E87" s="34">
        <v>80</v>
      </c>
      <c r="F87" s="150">
        <f t="shared" si="22"/>
        <v>79</v>
      </c>
      <c r="G87" s="58">
        <f t="shared" si="35"/>
        <v>0</v>
      </c>
      <c r="H87" s="58">
        <f t="shared" si="20"/>
        <v>0</v>
      </c>
      <c r="I87" s="59">
        <f t="shared" si="21"/>
        <v>0</v>
      </c>
      <c r="J87" s="19">
        <f t="shared" si="23"/>
        <v>1</v>
      </c>
      <c r="K87" s="60">
        <f t="shared" si="32"/>
        <v>48519</v>
      </c>
      <c r="L87" s="61">
        <f t="shared" si="33"/>
        <v>0</v>
      </c>
      <c r="M87" s="133">
        <f ca="1">IF(OR(F87&gt;$C$15, F87=0),0, 1*(1/(1+$C$30)^SUM(OFFSET($L$8, IF(F87=0, 1, 0), 0):L87)))*J87</f>
        <v>0</v>
      </c>
      <c r="N87" s="121">
        <f t="shared" ca="1" si="34"/>
        <v>0</v>
      </c>
      <c r="O87" s="63">
        <f t="shared" ca="1" si="24"/>
        <v>0</v>
      </c>
      <c r="P87" s="63">
        <f t="shared" ca="1" si="25"/>
        <v>0</v>
      </c>
      <c r="Q87" s="63">
        <f t="shared" ca="1" si="26"/>
        <v>0</v>
      </c>
      <c r="R87" s="132">
        <f t="shared" ca="1" si="27"/>
        <v>0</v>
      </c>
      <c r="S87" s="63">
        <f t="shared" si="28"/>
        <v>0</v>
      </c>
      <c r="T87" s="62">
        <f t="shared" ca="1" si="29"/>
        <v>0</v>
      </c>
      <c r="U87" s="43"/>
      <c r="V87" s="43"/>
      <c r="W87" s="43"/>
      <c r="X87" s="43"/>
      <c r="Y87" s="43"/>
      <c r="AA87" s="55" t="str">
        <f t="shared" si="30"/>
        <v/>
      </c>
      <c r="AB87" s="54" t="str">
        <f t="shared" ca="1" si="31"/>
        <v/>
      </c>
    </row>
    <row r="88" spans="1:28" x14ac:dyDescent="0.35">
      <c r="A88" s="71"/>
      <c r="B88" s="71"/>
      <c r="C88" s="112"/>
      <c r="D88" s="57"/>
      <c r="E88" s="34">
        <v>81</v>
      </c>
      <c r="F88" s="150">
        <f t="shared" si="22"/>
        <v>80</v>
      </c>
      <c r="G88" s="58">
        <f t="shared" si="35"/>
        <v>0</v>
      </c>
      <c r="H88" s="58">
        <f t="shared" si="20"/>
        <v>0</v>
      </c>
      <c r="I88" s="59">
        <f t="shared" si="21"/>
        <v>0</v>
      </c>
      <c r="J88" s="19">
        <f t="shared" si="23"/>
        <v>1</v>
      </c>
      <c r="K88" s="60">
        <f t="shared" si="32"/>
        <v>48549</v>
      </c>
      <c r="L88" s="61">
        <f t="shared" si="33"/>
        <v>0</v>
      </c>
      <c r="M88" s="133">
        <f ca="1">IF(OR(F88&gt;$C$15, F88=0),0, 1*(1/(1+$C$30)^SUM(OFFSET($L$8, IF(F88=0, 1, 0), 0):L88)))*J88</f>
        <v>0</v>
      </c>
      <c r="N88" s="121">
        <f t="shared" ca="1" si="34"/>
        <v>0</v>
      </c>
      <c r="O88" s="63">
        <f t="shared" ca="1" si="24"/>
        <v>0</v>
      </c>
      <c r="P88" s="63">
        <f t="shared" ca="1" si="25"/>
        <v>0</v>
      </c>
      <c r="Q88" s="63">
        <f t="shared" ca="1" si="26"/>
        <v>0</v>
      </c>
      <c r="R88" s="132">
        <f t="shared" ca="1" si="27"/>
        <v>0</v>
      </c>
      <c r="S88" s="63">
        <f t="shared" si="28"/>
        <v>0</v>
      </c>
      <c r="T88" s="62">
        <f t="shared" ca="1" si="29"/>
        <v>0</v>
      </c>
      <c r="U88" s="43"/>
      <c r="V88" s="43"/>
      <c r="W88" s="43"/>
      <c r="X88" s="43"/>
      <c r="Y88" s="43"/>
      <c r="AA88" s="55" t="str">
        <f t="shared" si="30"/>
        <v/>
      </c>
      <c r="AB88" s="54" t="str">
        <f t="shared" ca="1" si="31"/>
        <v/>
      </c>
    </row>
    <row r="89" spans="1:28" x14ac:dyDescent="0.35">
      <c r="A89" s="71"/>
      <c r="B89" s="71"/>
      <c r="C89" s="112"/>
      <c r="D89" s="57"/>
      <c r="E89" s="34">
        <v>82</v>
      </c>
      <c r="F89" s="150">
        <f t="shared" si="22"/>
        <v>81</v>
      </c>
      <c r="G89" s="58">
        <f t="shared" si="35"/>
        <v>0</v>
      </c>
      <c r="H89" s="58">
        <f t="shared" si="20"/>
        <v>0</v>
      </c>
      <c r="I89" s="59">
        <f t="shared" si="21"/>
        <v>0</v>
      </c>
      <c r="J89" s="19">
        <f t="shared" si="23"/>
        <v>1</v>
      </c>
      <c r="K89" s="60">
        <f t="shared" si="32"/>
        <v>48580</v>
      </c>
      <c r="L89" s="61">
        <f t="shared" si="33"/>
        <v>0</v>
      </c>
      <c r="M89" s="133">
        <f ca="1">IF(OR(F89&gt;$C$15, F89=0),0, 1*(1/(1+$C$30)^SUM(OFFSET($L$8, IF(F89=0, 1, 0), 0):L89)))*J89</f>
        <v>0</v>
      </c>
      <c r="N89" s="121">
        <f t="shared" ca="1" si="34"/>
        <v>0</v>
      </c>
      <c r="O89" s="63">
        <f t="shared" ca="1" si="24"/>
        <v>0</v>
      </c>
      <c r="P89" s="63">
        <f t="shared" ca="1" si="25"/>
        <v>0</v>
      </c>
      <c r="Q89" s="63">
        <f t="shared" ca="1" si="26"/>
        <v>0</v>
      </c>
      <c r="R89" s="132">
        <f t="shared" ca="1" si="27"/>
        <v>0</v>
      </c>
      <c r="S89" s="63">
        <f t="shared" si="28"/>
        <v>0</v>
      </c>
      <c r="T89" s="62">
        <f t="shared" ca="1" si="29"/>
        <v>0</v>
      </c>
      <c r="U89" s="43"/>
      <c r="V89" s="43"/>
      <c r="W89" s="43"/>
      <c r="X89" s="43"/>
      <c r="Y89" s="43"/>
      <c r="AA89" s="55" t="str">
        <f t="shared" si="30"/>
        <v/>
      </c>
      <c r="AB89" s="54" t="str">
        <f t="shared" ca="1" si="31"/>
        <v/>
      </c>
    </row>
    <row r="90" spans="1:28" x14ac:dyDescent="0.35">
      <c r="A90" s="71"/>
      <c r="B90" s="71"/>
      <c r="C90" s="112"/>
      <c r="D90" s="57"/>
      <c r="E90" s="34">
        <v>83</v>
      </c>
      <c r="F90" s="150">
        <f t="shared" si="22"/>
        <v>82</v>
      </c>
      <c r="G90" s="58">
        <f t="shared" si="35"/>
        <v>0</v>
      </c>
      <c r="H90" s="58">
        <f t="shared" si="20"/>
        <v>0</v>
      </c>
      <c r="I90" s="59">
        <f t="shared" si="21"/>
        <v>0</v>
      </c>
      <c r="J90" s="19">
        <f t="shared" si="23"/>
        <v>1</v>
      </c>
      <c r="K90" s="60">
        <f t="shared" si="32"/>
        <v>48611</v>
      </c>
      <c r="L90" s="61">
        <f t="shared" si="33"/>
        <v>0</v>
      </c>
      <c r="M90" s="133">
        <f ca="1">IF(OR(F90&gt;$C$15, F90=0),0, 1*(1/(1+$C$30)^SUM(OFFSET($L$8, IF(F90=0, 1, 0), 0):L90)))*J90</f>
        <v>0</v>
      </c>
      <c r="N90" s="121">
        <f t="shared" ca="1" si="34"/>
        <v>0</v>
      </c>
      <c r="O90" s="63">
        <f t="shared" ca="1" si="24"/>
        <v>0</v>
      </c>
      <c r="P90" s="63">
        <f t="shared" ca="1" si="25"/>
        <v>0</v>
      </c>
      <c r="Q90" s="63">
        <f t="shared" ca="1" si="26"/>
        <v>0</v>
      </c>
      <c r="R90" s="132">
        <f t="shared" ca="1" si="27"/>
        <v>0</v>
      </c>
      <c r="S90" s="63">
        <f t="shared" si="28"/>
        <v>0</v>
      </c>
      <c r="T90" s="62">
        <f t="shared" ca="1" si="29"/>
        <v>0</v>
      </c>
      <c r="U90" s="43"/>
      <c r="V90" s="43"/>
      <c r="W90" s="43"/>
      <c r="X90" s="43"/>
      <c r="Y90" s="43"/>
      <c r="AA90" s="55" t="str">
        <f t="shared" si="30"/>
        <v/>
      </c>
      <c r="AB90" s="54" t="str">
        <f t="shared" ca="1" si="31"/>
        <v/>
      </c>
    </row>
    <row r="91" spans="1:28" x14ac:dyDescent="0.35">
      <c r="A91" s="71"/>
      <c r="B91" s="71"/>
      <c r="C91" s="112"/>
      <c r="D91" s="57"/>
      <c r="E91" s="34">
        <v>84</v>
      </c>
      <c r="F91" s="150">
        <f t="shared" si="22"/>
        <v>83</v>
      </c>
      <c r="G91" s="58">
        <f t="shared" si="35"/>
        <v>0</v>
      </c>
      <c r="H91" s="58">
        <f t="shared" si="20"/>
        <v>0</v>
      </c>
      <c r="I91" s="59">
        <f t="shared" si="21"/>
        <v>0</v>
      </c>
      <c r="J91" s="19">
        <f t="shared" si="23"/>
        <v>1</v>
      </c>
      <c r="K91" s="60">
        <f t="shared" si="32"/>
        <v>48639</v>
      </c>
      <c r="L91" s="61">
        <f t="shared" si="33"/>
        <v>0</v>
      </c>
      <c r="M91" s="133">
        <f ca="1">IF(OR(F91&gt;$C$15, F91=0),0, 1*(1/(1+$C$30)^SUM(OFFSET($L$8, IF(F91=0, 1, 0), 0):L91)))*J91</f>
        <v>0</v>
      </c>
      <c r="N91" s="121">
        <f t="shared" ca="1" si="34"/>
        <v>0</v>
      </c>
      <c r="O91" s="63">
        <f t="shared" ca="1" si="24"/>
        <v>0</v>
      </c>
      <c r="P91" s="63">
        <f t="shared" ca="1" si="25"/>
        <v>0</v>
      </c>
      <c r="Q91" s="63">
        <f t="shared" ca="1" si="26"/>
        <v>0</v>
      </c>
      <c r="R91" s="132">
        <f t="shared" ca="1" si="27"/>
        <v>0</v>
      </c>
      <c r="S91" s="63">
        <f t="shared" si="28"/>
        <v>0</v>
      </c>
      <c r="T91" s="62">
        <f t="shared" ca="1" si="29"/>
        <v>0</v>
      </c>
      <c r="U91" s="43"/>
      <c r="V91" s="43"/>
      <c r="W91" s="43"/>
      <c r="X91" s="43"/>
      <c r="Y91" s="43"/>
      <c r="AA91" s="55" t="str">
        <f t="shared" si="30"/>
        <v/>
      </c>
      <c r="AB91" s="54" t="str">
        <f t="shared" ca="1" si="31"/>
        <v/>
      </c>
    </row>
    <row r="92" spans="1:28" x14ac:dyDescent="0.35">
      <c r="A92" s="71"/>
      <c r="B92" s="71"/>
      <c r="C92" s="112"/>
      <c r="D92" s="57"/>
      <c r="E92" s="34">
        <v>85</v>
      </c>
      <c r="F92" s="150">
        <f t="shared" si="22"/>
        <v>84</v>
      </c>
      <c r="G92" s="58">
        <f t="shared" si="35"/>
        <v>0</v>
      </c>
      <c r="H92" s="58">
        <f t="shared" si="20"/>
        <v>0</v>
      </c>
      <c r="I92" s="59">
        <f t="shared" si="21"/>
        <v>0</v>
      </c>
      <c r="J92" s="19">
        <f t="shared" si="23"/>
        <v>1</v>
      </c>
      <c r="K92" s="60">
        <f t="shared" si="32"/>
        <v>48670</v>
      </c>
      <c r="L92" s="61">
        <f t="shared" si="33"/>
        <v>0</v>
      </c>
      <c r="M92" s="133">
        <f ca="1">IF(OR(F92&gt;$C$15, F92=0),0, 1*(1/(1+$C$30)^SUM(OFFSET($L$8, IF(F92=0, 1, 0), 0):L92)))*J92</f>
        <v>0</v>
      </c>
      <c r="N92" s="121">
        <f t="shared" ca="1" si="34"/>
        <v>0</v>
      </c>
      <c r="O92" s="63">
        <f t="shared" ca="1" si="24"/>
        <v>0</v>
      </c>
      <c r="P92" s="63">
        <f t="shared" ca="1" si="25"/>
        <v>0</v>
      </c>
      <c r="Q92" s="63">
        <f t="shared" ca="1" si="26"/>
        <v>0</v>
      </c>
      <c r="R92" s="132">
        <f t="shared" ca="1" si="27"/>
        <v>0</v>
      </c>
      <c r="S92" s="63">
        <f t="shared" si="28"/>
        <v>0</v>
      </c>
      <c r="T92" s="62">
        <f t="shared" ca="1" si="29"/>
        <v>0</v>
      </c>
      <c r="U92" s="43"/>
      <c r="V92" s="43"/>
      <c r="W92" s="43"/>
      <c r="X92" s="43"/>
      <c r="Y92" s="43"/>
      <c r="AA92" s="55" t="str">
        <f t="shared" si="30"/>
        <v/>
      </c>
      <c r="AB92" s="54" t="str">
        <f t="shared" ca="1" si="31"/>
        <v/>
      </c>
    </row>
    <row r="93" spans="1:28" x14ac:dyDescent="0.35">
      <c r="A93" s="71"/>
      <c r="B93" s="71"/>
      <c r="C93" s="112"/>
      <c r="D93" s="57"/>
      <c r="E93" s="34">
        <v>86</v>
      </c>
      <c r="F93" s="150">
        <f t="shared" si="22"/>
        <v>85</v>
      </c>
      <c r="G93" s="58">
        <f t="shared" si="35"/>
        <v>0</v>
      </c>
      <c r="H93" s="58">
        <f t="shared" si="20"/>
        <v>0</v>
      </c>
      <c r="I93" s="59">
        <f t="shared" si="21"/>
        <v>0</v>
      </c>
      <c r="J93" s="19">
        <f t="shared" si="23"/>
        <v>1</v>
      </c>
      <c r="K93" s="60">
        <f t="shared" si="32"/>
        <v>48700</v>
      </c>
      <c r="L93" s="61">
        <f t="shared" si="33"/>
        <v>0</v>
      </c>
      <c r="M93" s="133">
        <f ca="1">IF(OR(F93&gt;$C$15, F93=0),0, 1*(1/(1+$C$30)^SUM(OFFSET($L$8, IF(F93=0, 1, 0), 0):L93)))*J93</f>
        <v>0</v>
      </c>
      <c r="N93" s="121">
        <f t="shared" ca="1" si="34"/>
        <v>0</v>
      </c>
      <c r="O93" s="63">
        <f t="shared" ca="1" si="24"/>
        <v>0</v>
      </c>
      <c r="P93" s="63">
        <f t="shared" ca="1" si="25"/>
        <v>0</v>
      </c>
      <c r="Q93" s="63">
        <f t="shared" ca="1" si="26"/>
        <v>0</v>
      </c>
      <c r="R93" s="132">
        <f t="shared" ca="1" si="27"/>
        <v>0</v>
      </c>
      <c r="S93" s="63">
        <f t="shared" si="28"/>
        <v>0</v>
      </c>
      <c r="T93" s="62">
        <f t="shared" ca="1" si="29"/>
        <v>0</v>
      </c>
      <c r="U93" s="43"/>
      <c r="V93" s="43"/>
      <c r="W93" s="43"/>
      <c r="X93" s="43"/>
      <c r="Y93" s="43"/>
      <c r="AA93" s="55" t="str">
        <f t="shared" si="30"/>
        <v/>
      </c>
      <c r="AB93" s="54" t="str">
        <f t="shared" ca="1" si="31"/>
        <v/>
      </c>
    </row>
    <row r="94" spans="1:28" x14ac:dyDescent="0.35">
      <c r="A94" s="71"/>
      <c r="B94" s="71"/>
      <c r="C94" s="112"/>
      <c r="D94" s="57"/>
      <c r="E94" s="34">
        <v>87</v>
      </c>
      <c r="F94" s="150">
        <f t="shared" si="22"/>
        <v>86</v>
      </c>
      <c r="G94" s="58">
        <f t="shared" si="35"/>
        <v>0</v>
      </c>
      <c r="H94" s="58">
        <f t="shared" si="20"/>
        <v>0</v>
      </c>
      <c r="I94" s="59">
        <f t="shared" si="21"/>
        <v>0</v>
      </c>
      <c r="J94" s="19">
        <f t="shared" si="23"/>
        <v>1</v>
      </c>
      <c r="K94" s="60">
        <f t="shared" si="32"/>
        <v>48731</v>
      </c>
      <c r="L94" s="61">
        <f t="shared" si="33"/>
        <v>0</v>
      </c>
      <c r="M94" s="133">
        <f ca="1">IF(OR(F94&gt;$C$15, F94=0),0, 1*(1/(1+$C$30)^SUM(OFFSET($L$8, IF(F94=0, 1, 0), 0):L94)))*J94</f>
        <v>0</v>
      </c>
      <c r="N94" s="121">
        <f t="shared" ca="1" si="34"/>
        <v>0</v>
      </c>
      <c r="O94" s="63">
        <f t="shared" ca="1" si="24"/>
        <v>0</v>
      </c>
      <c r="P94" s="63">
        <f t="shared" ca="1" si="25"/>
        <v>0</v>
      </c>
      <c r="Q94" s="63">
        <f t="shared" ca="1" si="26"/>
        <v>0</v>
      </c>
      <c r="R94" s="132">
        <f t="shared" ca="1" si="27"/>
        <v>0</v>
      </c>
      <c r="S94" s="63">
        <f t="shared" si="28"/>
        <v>0</v>
      </c>
      <c r="T94" s="62">
        <f t="shared" ca="1" si="29"/>
        <v>0</v>
      </c>
      <c r="U94" s="43"/>
      <c r="V94" s="43"/>
      <c r="W94" s="43"/>
      <c r="X94" s="43"/>
      <c r="Y94" s="43"/>
      <c r="AA94" s="55" t="str">
        <f t="shared" si="30"/>
        <v/>
      </c>
      <c r="AB94" s="54" t="str">
        <f t="shared" ca="1" si="31"/>
        <v/>
      </c>
    </row>
    <row r="95" spans="1:28" x14ac:dyDescent="0.35">
      <c r="A95" s="71"/>
      <c r="B95" s="71"/>
      <c r="C95" s="112"/>
      <c r="D95" s="57"/>
      <c r="E95" s="34">
        <v>88</v>
      </c>
      <c r="F95" s="150">
        <f t="shared" si="22"/>
        <v>87</v>
      </c>
      <c r="G95" s="58">
        <f t="shared" si="35"/>
        <v>0</v>
      </c>
      <c r="H95" s="58">
        <f t="shared" si="20"/>
        <v>0</v>
      </c>
      <c r="I95" s="59">
        <f t="shared" si="21"/>
        <v>0</v>
      </c>
      <c r="J95" s="19">
        <f t="shared" si="23"/>
        <v>1</v>
      </c>
      <c r="K95" s="60">
        <f t="shared" si="32"/>
        <v>48761</v>
      </c>
      <c r="L95" s="61">
        <f t="shared" si="33"/>
        <v>0</v>
      </c>
      <c r="M95" s="133">
        <f ca="1">IF(OR(F95&gt;$C$15, F95=0),0, 1*(1/(1+$C$30)^SUM(OFFSET($L$8, IF(F95=0, 1, 0), 0):L95)))*J95</f>
        <v>0</v>
      </c>
      <c r="N95" s="121">
        <f t="shared" ca="1" si="34"/>
        <v>0</v>
      </c>
      <c r="O95" s="63">
        <f t="shared" ca="1" si="24"/>
        <v>0</v>
      </c>
      <c r="P95" s="63">
        <f t="shared" ca="1" si="25"/>
        <v>0</v>
      </c>
      <c r="Q95" s="63">
        <f t="shared" ca="1" si="26"/>
        <v>0</v>
      </c>
      <c r="R95" s="132">
        <f t="shared" ca="1" si="27"/>
        <v>0</v>
      </c>
      <c r="S95" s="63">
        <f t="shared" si="28"/>
        <v>0</v>
      </c>
      <c r="T95" s="62">
        <f t="shared" ca="1" si="29"/>
        <v>0</v>
      </c>
      <c r="U95" s="43"/>
      <c r="V95" s="43"/>
      <c r="W95" s="43"/>
      <c r="X95" s="43"/>
      <c r="Y95" s="43"/>
      <c r="AA95" s="55" t="str">
        <f t="shared" si="30"/>
        <v/>
      </c>
      <c r="AB95" s="54" t="str">
        <f t="shared" ca="1" si="31"/>
        <v/>
      </c>
    </row>
    <row r="96" spans="1:28" x14ac:dyDescent="0.35">
      <c r="A96" s="71"/>
      <c r="B96" s="71"/>
      <c r="C96" s="112"/>
      <c r="D96" s="57"/>
      <c r="E96" s="34">
        <v>89</v>
      </c>
      <c r="F96" s="150">
        <f t="shared" si="22"/>
        <v>88</v>
      </c>
      <c r="G96" s="58">
        <f t="shared" si="35"/>
        <v>0</v>
      </c>
      <c r="H96" s="58">
        <f t="shared" si="20"/>
        <v>0</v>
      </c>
      <c r="I96" s="59">
        <f t="shared" si="21"/>
        <v>0</v>
      </c>
      <c r="J96" s="19">
        <f t="shared" si="23"/>
        <v>1</v>
      </c>
      <c r="K96" s="60">
        <f t="shared" si="32"/>
        <v>48792</v>
      </c>
      <c r="L96" s="61">
        <f t="shared" si="33"/>
        <v>0</v>
      </c>
      <c r="M96" s="133">
        <f ca="1">IF(OR(F96&gt;$C$15, F96=0),0, 1*(1/(1+$C$30)^SUM(OFFSET($L$8, IF(F96=0, 1, 0), 0):L96)))*J96</f>
        <v>0</v>
      </c>
      <c r="N96" s="121">
        <f t="shared" ca="1" si="34"/>
        <v>0</v>
      </c>
      <c r="O96" s="63">
        <f t="shared" ca="1" si="24"/>
        <v>0</v>
      </c>
      <c r="P96" s="63">
        <f t="shared" ca="1" si="25"/>
        <v>0</v>
      </c>
      <c r="Q96" s="63">
        <f t="shared" ca="1" si="26"/>
        <v>0</v>
      </c>
      <c r="R96" s="132">
        <f t="shared" ca="1" si="27"/>
        <v>0</v>
      </c>
      <c r="S96" s="63">
        <f t="shared" si="28"/>
        <v>0</v>
      </c>
      <c r="T96" s="62">
        <f t="shared" ca="1" si="29"/>
        <v>0</v>
      </c>
      <c r="U96" s="43"/>
      <c r="V96" s="43"/>
      <c r="W96" s="43"/>
      <c r="X96" s="43"/>
      <c r="Y96" s="43"/>
      <c r="AA96" s="55" t="str">
        <f t="shared" si="30"/>
        <v/>
      </c>
      <c r="AB96" s="54" t="str">
        <f t="shared" ca="1" si="31"/>
        <v/>
      </c>
    </row>
    <row r="97" spans="1:28" x14ac:dyDescent="0.35">
      <c r="A97" s="71"/>
      <c r="B97" s="71"/>
      <c r="C97" s="112"/>
      <c r="D97" s="57"/>
      <c r="E97" s="34">
        <v>90</v>
      </c>
      <c r="F97" s="150">
        <f t="shared" si="22"/>
        <v>89</v>
      </c>
      <c r="G97" s="58">
        <f t="shared" si="35"/>
        <v>0</v>
      </c>
      <c r="H97" s="58">
        <f t="shared" si="20"/>
        <v>0</v>
      </c>
      <c r="I97" s="59">
        <f t="shared" si="21"/>
        <v>0</v>
      </c>
      <c r="J97" s="19">
        <f t="shared" si="23"/>
        <v>1</v>
      </c>
      <c r="K97" s="60">
        <f t="shared" si="32"/>
        <v>48823</v>
      </c>
      <c r="L97" s="61">
        <f t="shared" si="33"/>
        <v>0</v>
      </c>
      <c r="M97" s="133">
        <f ca="1">IF(OR(F97&gt;$C$15, F97=0),0, 1*(1/(1+$C$30)^SUM(OFFSET($L$8, IF(F97=0, 1, 0), 0):L97)))*J97</f>
        <v>0</v>
      </c>
      <c r="N97" s="121">
        <f t="shared" ca="1" si="34"/>
        <v>0</v>
      </c>
      <c r="O97" s="63">
        <f t="shared" ca="1" si="24"/>
        <v>0</v>
      </c>
      <c r="P97" s="63">
        <f t="shared" ca="1" si="25"/>
        <v>0</v>
      </c>
      <c r="Q97" s="63">
        <f t="shared" ca="1" si="26"/>
        <v>0</v>
      </c>
      <c r="R97" s="132">
        <f t="shared" ca="1" si="27"/>
        <v>0</v>
      </c>
      <c r="S97" s="63">
        <f t="shared" si="28"/>
        <v>0</v>
      </c>
      <c r="T97" s="62">
        <f t="shared" ca="1" si="29"/>
        <v>0</v>
      </c>
      <c r="U97" s="43"/>
      <c r="V97" s="43"/>
      <c r="W97" s="43"/>
      <c r="X97" s="43"/>
      <c r="Y97" s="43"/>
      <c r="AA97" s="55" t="str">
        <f t="shared" si="30"/>
        <v/>
      </c>
      <c r="AB97" s="54" t="str">
        <f t="shared" ca="1" si="31"/>
        <v/>
      </c>
    </row>
    <row r="98" spans="1:28" x14ac:dyDescent="0.35">
      <c r="A98" s="71"/>
      <c r="B98" s="71"/>
      <c r="C98" s="112"/>
      <c r="D98" s="57"/>
      <c r="E98" s="34">
        <v>91</v>
      </c>
      <c r="F98" s="150">
        <f t="shared" si="22"/>
        <v>90</v>
      </c>
      <c r="G98" s="58">
        <f t="shared" si="35"/>
        <v>0</v>
      </c>
      <c r="H98" s="58">
        <f t="shared" si="20"/>
        <v>0</v>
      </c>
      <c r="I98" s="59">
        <f t="shared" si="21"/>
        <v>0</v>
      </c>
      <c r="J98" s="19">
        <f t="shared" si="23"/>
        <v>1</v>
      </c>
      <c r="K98" s="60">
        <f t="shared" si="32"/>
        <v>48853</v>
      </c>
      <c r="L98" s="61">
        <f t="shared" si="33"/>
        <v>0</v>
      </c>
      <c r="M98" s="133">
        <f ca="1">IF(OR(F98&gt;$C$15, F98=0),0, 1*(1/(1+$C$30)^SUM(OFFSET($L$8, IF(F98=0, 1, 0), 0):L98)))*J98</f>
        <v>0</v>
      </c>
      <c r="N98" s="121">
        <f t="shared" ca="1" si="34"/>
        <v>0</v>
      </c>
      <c r="O98" s="63">
        <f t="shared" ca="1" si="24"/>
        <v>0</v>
      </c>
      <c r="P98" s="63">
        <f t="shared" ca="1" si="25"/>
        <v>0</v>
      </c>
      <c r="Q98" s="63">
        <f t="shared" ca="1" si="26"/>
        <v>0</v>
      </c>
      <c r="R98" s="132">
        <f t="shared" ca="1" si="27"/>
        <v>0</v>
      </c>
      <c r="S98" s="63">
        <f t="shared" si="28"/>
        <v>0</v>
      </c>
      <c r="T98" s="62">
        <f t="shared" ca="1" si="29"/>
        <v>0</v>
      </c>
      <c r="U98" s="43"/>
      <c r="V98" s="43"/>
      <c r="W98" s="43"/>
      <c r="X98" s="43"/>
      <c r="Y98" s="43"/>
      <c r="AA98" s="55" t="str">
        <f t="shared" si="30"/>
        <v/>
      </c>
      <c r="AB98" s="54" t="str">
        <f t="shared" ca="1" si="31"/>
        <v/>
      </c>
    </row>
    <row r="99" spans="1:28" x14ac:dyDescent="0.35">
      <c r="A99" s="71"/>
      <c r="B99" s="71"/>
      <c r="C99" s="112"/>
      <c r="D99" s="57"/>
      <c r="E99" s="34">
        <v>92</v>
      </c>
      <c r="F99" s="150">
        <f t="shared" si="22"/>
        <v>91</v>
      </c>
      <c r="G99" s="58">
        <f t="shared" si="35"/>
        <v>0</v>
      </c>
      <c r="H99" s="58">
        <f t="shared" si="20"/>
        <v>0</v>
      </c>
      <c r="I99" s="59">
        <f t="shared" si="21"/>
        <v>0</v>
      </c>
      <c r="J99" s="19">
        <f t="shared" si="23"/>
        <v>1</v>
      </c>
      <c r="K99" s="60">
        <f t="shared" si="32"/>
        <v>48884</v>
      </c>
      <c r="L99" s="61">
        <f t="shared" si="33"/>
        <v>0</v>
      </c>
      <c r="M99" s="133">
        <f ca="1">IF(OR(F99&gt;$C$15, F99=0),0, 1*(1/(1+$C$30)^SUM(OFFSET($L$8, IF(F99=0, 1, 0), 0):L99)))*J99</f>
        <v>0</v>
      </c>
      <c r="N99" s="121">
        <f t="shared" ca="1" si="34"/>
        <v>0</v>
      </c>
      <c r="O99" s="63">
        <f t="shared" ca="1" si="24"/>
        <v>0</v>
      </c>
      <c r="P99" s="63">
        <f t="shared" ca="1" si="25"/>
        <v>0</v>
      </c>
      <c r="Q99" s="63">
        <f t="shared" ca="1" si="26"/>
        <v>0</v>
      </c>
      <c r="R99" s="132">
        <f t="shared" ca="1" si="27"/>
        <v>0</v>
      </c>
      <c r="S99" s="63">
        <f t="shared" si="28"/>
        <v>0</v>
      </c>
      <c r="T99" s="62">
        <f t="shared" ca="1" si="29"/>
        <v>0</v>
      </c>
      <c r="U99" s="43"/>
      <c r="V99" s="43"/>
      <c r="W99" s="43"/>
      <c r="X99" s="43"/>
      <c r="Y99" s="43"/>
      <c r="AA99" s="55" t="str">
        <f t="shared" si="30"/>
        <v/>
      </c>
      <c r="AB99" s="54" t="str">
        <f t="shared" ca="1" si="31"/>
        <v/>
      </c>
    </row>
    <row r="100" spans="1:28" x14ac:dyDescent="0.35">
      <c r="A100" s="71"/>
      <c r="B100" s="71"/>
      <c r="C100" s="112"/>
      <c r="D100" s="57"/>
      <c r="E100" s="34">
        <v>93</v>
      </c>
      <c r="F100" s="150">
        <f t="shared" si="22"/>
        <v>92</v>
      </c>
      <c r="G100" s="58">
        <f t="shared" si="35"/>
        <v>0</v>
      </c>
      <c r="H100" s="58">
        <f t="shared" si="20"/>
        <v>0</v>
      </c>
      <c r="I100" s="59">
        <f t="shared" si="21"/>
        <v>0</v>
      </c>
      <c r="J100" s="19">
        <f t="shared" si="23"/>
        <v>1</v>
      </c>
      <c r="K100" s="60">
        <f t="shared" si="32"/>
        <v>48914</v>
      </c>
      <c r="L100" s="61">
        <f t="shared" si="33"/>
        <v>0</v>
      </c>
      <c r="M100" s="133">
        <f ca="1">IF(OR(F100&gt;$C$15, F100=0),0, 1*(1/(1+$C$30)^SUM(OFFSET($L$8, IF(F100=0, 1, 0), 0):L100)))*J100</f>
        <v>0</v>
      </c>
      <c r="N100" s="121">
        <f t="shared" ca="1" si="34"/>
        <v>0</v>
      </c>
      <c r="O100" s="63">
        <f t="shared" ca="1" si="24"/>
        <v>0</v>
      </c>
      <c r="P100" s="63">
        <f t="shared" ca="1" si="25"/>
        <v>0</v>
      </c>
      <c r="Q100" s="63">
        <f t="shared" ca="1" si="26"/>
        <v>0</v>
      </c>
      <c r="R100" s="132">
        <f t="shared" ca="1" si="27"/>
        <v>0</v>
      </c>
      <c r="S100" s="63">
        <f t="shared" si="28"/>
        <v>0</v>
      </c>
      <c r="T100" s="62">
        <f t="shared" ca="1" si="29"/>
        <v>0</v>
      </c>
      <c r="U100" s="43"/>
      <c r="V100" s="43"/>
      <c r="W100" s="43"/>
      <c r="X100" s="43"/>
      <c r="Y100" s="43"/>
      <c r="AA100" s="55" t="str">
        <f t="shared" si="30"/>
        <v/>
      </c>
      <c r="AB100" s="54" t="str">
        <f t="shared" ca="1" si="31"/>
        <v/>
      </c>
    </row>
    <row r="101" spans="1:28" x14ac:dyDescent="0.35">
      <c r="A101" s="71"/>
      <c r="B101" s="71"/>
      <c r="C101" s="112"/>
      <c r="D101" s="57"/>
      <c r="E101" s="34">
        <v>94</v>
      </c>
      <c r="F101" s="150">
        <f t="shared" si="22"/>
        <v>93</v>
      </c>
      <c r="G101" s="58">
        <f t="shared" si="35"/>
        <v>0</v>
      </c>
      <c r="H101" s="58">
        <f t="shared" si="20"/>
        <v>0</v>
      </c>
      <c r="I101" s="59">
        <f t="shared" si="21"/>
        <v>0</v>
      </c>
      <c r="J101" s="19">
        <f t="shared" si="23"/>
        <v>1</v>
      </c>
      <c r="K101" s="60">
        <f t="shared" si="32"/>
        <v>48945</v>
      </c>
      <c r="L101" s="61">
        <f t="shared" si="33"/>
        <v>0</v>
      </c>
      <c r="M101" s="133">
        <f ca="1">IF(OR(F101&gt;$C$15, F101=0),0, 1*(1/(1+$C$30)^SUM(OFFSET($L$8, IF(F101=0, 1, 0), 0):L101)))*J101</f>
        <v>0</v>
      </c>
      <c r="N101" s="121">
        <f t="shared" ca="1" si="34"/>
        <v>0</v>
      </c>
      <c r="O101" s="63">
        <f t="shared" ca="1" si="24"/>
        <v>0</v>
      </c>
      <c r="P101" s="63">
        <f t="shared" ca="1" si="25"/>
        <v>0</v>
      </c>
      <c r="Q101" s="63">
        <f t="shared" ca="1" si="26"/>
        <v>0</v>
      </c>
      <c r="R101" s="132">
        <f t="shared" ca="1" si="27"/>
        <v>0</v>
      </c>
      <c r="S101" s="63">
        <f t="shared" si="28"/>
        <v>0</v>
      </c>
      <c r="T101" s="62">
        <f t="shared" ca="1" si="29"/>
        <v>0</v>
      </c>
      <c r="U101" s="43"/>
      <c r="V101" s="43"/>
      <c r="W101" s="43"/>
      <c r="X101" s="43"/>
      <c r="Y101" s="43"/>
      <c r="AA101" s="55" t="str">
        <f t="shared" si="30"/>
        <v/>
      </c>
      <c r="AB101" s="54" t="str">
        <f t="shared" ca="1" si="31"/>
        <v/>
      </c>
    </row>
    <row r="102" spans="1:28" x14ac:dyDescent="0.35">
      <c r="A102" s="71"/>
      <c r="B102" s="71"/>
      <c r="C102" s="112"/>
      <c r="D102" s="57"/>
      <c r="E102" s="34">
        <v>95</v>
      </c>
      <c r="F102" s="150">
        <f t="shared" si="22"/>
        <v>94</v>
      </c>
      <c r="G102" s="58">
        <f t="shared" si="35"/>
        <v>0</v>
      </c>
      <c r="H102" s="58">
        <f t="shared" si="20"/>
        <v>0</v>
      </c>
      <c r="I102" s="59">
        <f t="shared" si="21"/>
        <v>0</v>
      </c>
      <c r="J102" s="19">
        <f t="shared" si="23"/>
        <v>1</v>
      </c>
      <c r="K102" s="60">
        <f t="shared" si="32"/>
        <v>48976</v>
      </c>
      <c r="L102" s="61">
        <f t="shared" si="33"/>
        <v>0</v>
      </c>
      <c r="M102" s="133">
        <f ca="1">IF(OR(F102&gt;$C$15, F102=0),0, 1*(1/(1+$C$30)^SUM(OFFSET($L$8, IF(F102=0, 1, 0), 0):L102)))*J102</f>
        <v>0</v>
      </c>
      <c r="N102" s="121">
        <f t="shared" ca="1" si="34"/>
        <v>0</v>
      </c>
      <c r="O102" s="63">
        <f t="shared" ca="1" si="24"/>
        <v>0</v>
      </c>
      <c r="P102" s="63">
        <f t="shared" ca="1" si="25"/>
        <v>0</v>
      </c>
      <c r="Q102" s="63">
        <f t="shared" ca="1" si="26"/>
        <v>0</v>
      </c>
      <c r="R102" s="132">
        <f t="shared" ca="1" si="27"/>
        <v>0</v>
      </c>
      <c r="S102" s="63">
        <f t="shared" si="28"/>
        <v>0</v>
      </c>
      <c r="T102" s="62">
        <f t="shared" ca="1" si="29"/>
        <v>0</v>
      </c>
      <c r="U102" s="43"/>
      <c r="V102" s="43"/>
      <c r="W102" s="43"/>
      <c r="X102" s="43"/>
      <c r="Y102" s="43"/>
      <c r="AA102" s="55" t="str">
        <f t="shared" si="30"/>
        <v/>
      </c>
      <c r="AB102" s="54" t="str">
        <f t="shared" ca="1" si="31"/>
        <v/>
      </c>
    </row>
    <row r="103" spans="1:28" x14ac:dyDescent="0.35">
      <c r="A103" s="71"/>
      <c r="B103" s="71"/>
      <c r="C103" s="112"/>
      <c r="D103" s="57"/>
      <c r="E103" s="34">
        <v>96</v>
      </c>
      <c r="F103" s="150">
        <f t="shared" si="22"/>
        <v>95</v>
      </c>
      <c r="G103" s="58">
        <f t="shared" si="35"/>
        <v>0</v>
      </c>
      <c r="H103" s="58">
        <f t="shared" si="20"/>
        <v>0</v>
      </c>
      <c r="I103" s="59">
        <f t="shared" si="21"/>
        <v>0</v>
      </c>
      <c r="J103" s="19">
        <f t="shared" si="23"/>
        <v>1</v>
      </c>
      <c r="K103" s="60">
        <f t="shared" si="32"/>
        <v>49004</v>
      </c>
      <c r="L103" s="61">
        <f t="shared" si="33"/>
        <v>0</v>
      </c>
      <c r="M103" s="133">
        <f ca="1">IF(OR(F103&gt;$C$15, F103=0),0, 1*(1/(1+$C$30)^SUM(OFFSET($L$8, IF(F103=0, 1, 0), 0):L103)))*J103</f>
        <v>0</v>
      </c>
      <c r="N103" s="121">
        <f t="shared" ca="1" si="34"/>
        <v>0</v>
      </c>
      <c r="O103" s="63">
        <f t="shared" ca="1" si="24"/>
        <v>0</v>
      </c>
      <c r="P103" s="63">
        <f t="shared" ca="1" si="25"/>
        <v>0</v>
      </c>
      <c r="Q103" s="63">
        <f t="shared" ca="1" si="26"/>
        <v>0</v>
      </c>
      <c r="R103" s="132">
        <f t="shared" ca="1" si="27"/>
        <v>0</v>
      </c>
      <c r="S103" s="63">
        <f t="shared" si="28"/>
        <v>0</v>
      </c>
      <c r="T103" s="62">
        <f t="shared" ca="1" si="29"/>
        <v>0</v>
      </c>
      <c r="U103" s="43"/>
      <c r="V103" s="43"/>
      <c r="W103" s="43"/>
      <c r="X103" s="43"/>
      <c r="Y103" s="43"/>
      <c r="AA103" s="55" t="str">
        <f t="shared" si="30"/>
        <v/>
      </c>
      <c r="AB103" s="54" t="str">
        <f t="shared" ca="1" si="31"/>
        <v/>
      </c>
    </row>
    <row r="104" spans="1:28" x14ac:dyDescent="0.35">
      <c r="A104" s="71"/>
      <c r="B104" s="71"/>
      <c r="C104" s="112"/>
      <c r="D104" s="57"/>
      <c r="E104" s="34">
        <v>97</v>
      </c>
      <c r="F104" s="150">
        <f t="shared" si="22"/>
        <v>96</v>
      </c>
      <c r="G104" s="58">
        <f t="shared" si="35"/>
        <v>0</v>
      </c>
      <c r="H104" s="58">
        <f t="shared" si="20"/>
        <v>0</v>
      </c>
      <c r="I104" s="59">
        <f t="shared" si="21"/>
        <v>0</v>
      </c>
      <c r="J104" s="19">
        <f t="shared" si="23"/>
        <v>1</v>
      </c>
      <c r="K104" s="60">
        <f t="shared" si="32"/>
        <v>49035</v>
      </c>
      <c r="L104" s="61">
        <f t="shared" si="33"/>
        <v>0</v>
      </c>
      <c r="M104" s="133">
        <f ca="1">IF(OR(F104&gt;$C$15, F104=0),0, 1*(1/(1+$C$30)^SUM(OFFSET($L$8, IF(F104=0, 1, 0), 0):L104)))*J104</f>
        <v>0</v>
      </c>
      <c r="N104" s="121">
        <f t="shared" ca="1" si="34"/>
        <v>0</v>
      </c>
      <c r="O104" s="63">
        <f t="shared" ca="1" si="24"/>
        <v>0</v>
      </c>
      <c r="P104" s="63">
        <f t="shared" ca="1" si="25"/>
        <v>0</v>
      </c>
      <c r="Q104" s="63">
        <f t="shared" ca="1" si="26"/>
        <v>0</v>
      </c>
      <c r="R104" s="132">
        <f t="shared" ca="1" si="27"/>
        <v>0</v>
      </c>
      <c r="S104" s="63">
        <f t="shared" si="28"/>
        <v>0</v>
      </c>
      <c r="T104" s="62">
        <f t="shared" ca="1" si="29"/>
        <v>0</v>
      </c>
      <c r="U104" s="43"/>
      <c r="V104" s="43"/>
      <c r="W104" s="43"/>
      <c r="X104" s="43"/>
      <c r="Y104" s="43"/>
      <c r="AA104" s="55" t="str">
        <f t="shared" si="30"/>
        <v/>
      </c>
      <c r="AB104" s="54" t="str">
        <f t="shared" ca="1" si="31"/>
        <v/>
      </c>
    </row>
    <row r="105" spans="1:28" x14ac:dyDescent="0.35">
      <c r="A105" s="71"/>
      <c r="B105" s="71"/>
      <c r="C105" s="112"/>
      <c r="D105" s="57"/>
      <c r="E105" s="34">
        <v>98</v>
      </c>
      <c r="F105" s="150">
        <f t="shared" si="22"/>
        <v>97</v>
      </c>
      <c r="G105" s="58">
        <f t="shared" si="35"/>
        <v>0</v>
      </c>
      <c r="H105" s="58">
        <f t="shared" si="20"/>
        <v>0</v>
      </c>
      <c r="I105" s="59">
        <f t="shared" si="21"/>
        <v>0</v>
      </c>
      <c r="J105" s="19">
        <f t="shared" si="23"/>
        <v>1</v>
      </c>
      <c r="K105" s="60">
        <f t="shared" si="32"/>
        <v>49065</v>
      </c>
      <c r="L105" s="61">
        <f t="shared" si="33"/>
        <v>0</v>
      </c>
      <c r="M105" s="133">
        <f ca="1">IF(OR(F105&gt;$C$15, F105=0),0, 1*(1/(1+$C$30)^SUM(OFFSET($L$8, IF(F105=0, 1, 0), 0):L105)))*J105</f>
        <v>0</v>
      </c>
      <c r="N105" s="121">
        <f t="shared" ca="1" si="34"/>
        <v>0</v>
      </c>
      <c r="O105" s="63">
        <f t="shared" ca="1" si="24"/>
        <v>0</v>
      </c>
      <c r="P105" s="63">
        <f t="shared" ca="1" si="25"/>
        <v>0</v>
      </c>
      <c r="Q105" s="63">
        <f t="shared" ca="1" si="26"/>
        <v>0</v>
      </c>
      <c r="R105" s="132">
        <f t="shared" ca="1" si="27"/>
        <v>0</v>
      </c>
      <c r="S105" s="63">
        <f t="shared" si="28"/>
        <v>0</v>
      </c>
      <c r="T105" s="62">
        <f t="shared" ca="1" si="29"/>
        <v>0</v>
      </c>
      <c r="U105" s="43"/>
      <c r="V105" s="43"/>
      <c r="W105" s="43"/>
      <c r="X105" s="43"/>
      <c r="Y105" s="43"/>
      <c r="AA105" s="55" t="str">
        <f t="shared" si="30"/>
        <v/>
      </c>
      <c r="AB105" s="54" t="str">
        <f t="shared" ca="1" si="31"/>
        <v/>
      </c>
    </row>
    <row r="106" spans="1:28" x14ac:dyDescent="0.35">
      <c r="A106" s="71"/>
      <c r="B106" s="71"/>
      <c r="C106" s="112"/>
      <c r="D106" s="57"/>
      <c r="E106" s="34">
        <v>99</v>
      </c>
      <c r="F106" s="150">
        <f t="shared" si="22"/>
        <v>98</v>
      </c>
      <c r="G106" s="58">
        <f t="shared" si="35"/>
        <v>0</v>
      </c>
      <c r="H106" s="58">
        <f t="shared" si="20"/>
        <v>0</v>
      </c>
      <c r="I106" s="59">
        <f t="shared" si="21"/>
        <v>0</v>
      </c>
      <c r="J106" s="19">
        <f t="shared" si="23"/>
        <v>1</v>
      </c>
      <c r="K106" s="60">
        <f t="shared" si="32"/>
        <v>49096</v>
      </c>
      <c r="L106" s="61">
        <f t="shared" si="33"/>
        <v>0</v>
      </c>
      <c r="M106" s="133">
        <f ca="1">IF(OR(F106&gt;$C$15, F106=0),0, 1*(1/(1+$C$30)^SUM(OFFSET($L$8, IF(F106=0, 1, 0), 0):L106)))*J106</f>
        <v>0</v>
      </c>
      <c r="N106" s="121">
        <f t="shared" ca="1" si="34"/>
        <v>0</v>
      </c>
      <c r="O106" s="63">
        <f t="shared" ca="1" si="24"/>
        <v>0</v>
      </c>
      <c r="P106" s="63">
        <f t="shared" ca="1" si="25"/>
        <v>0</v>
      </c>
      <c r="Q106" s="63">
        <f t="shared" ca="1" si="26"/>
        <v>0</v>
      </c>
      <c r="R106" s="132">
        <f t="shared" ca="1" si="27"/>
        <v>0</v>
      </c>
      <c r="S106" s="63">
        <f t="shared" si="28"/>
        <v>0</v>
      </c>
      <c r="T106" s="62">
        <f t="shared" ca="1" si="29"/>
        <v>0</v>
      </c>
      <c r="U106" s="43"/>
      <c r="V106" s="43"/>
      <c r="W106" s="43"/>
      <c r="X106" s="43"/>
      <c r="Y106" s="43"/>
      <c r="AA106" s="55" t="str">
        <f t="shared" si="30"/>
        <v/>
      </c>
      <c r="AB106" s="54" t="str">
        <f t="shared" ca="1" si="31"/>
        <v/>
      </c>
    </row>
    <row r="107" spans="1:28" x14ac:dyDescent="0.35">
      <c r="A107" s="71"/>
      <c r="B107" s="71"/>
      <c r="C107" s="112"/>
      <c r="D107" s="57"/>
      <c r="E107" s="34">
        <v>100</v>
      </c>
      <c r="F107" s="150">
        <f t="shared" si="22"/>
        <v>99</v>
      </c>
      <c r="G107" s="58">
        <f t="shared" si="35"/>
        <v>0</v>
      </c>
      <c r="H107" s="58">
        <f t="shared" si="20"/>
        <v>0</v>
      </c>
      <c r="I107" s="59">
        <f t="shared" si="21"/>
        <v>0</v>
      </c>
      <c r="J107" s="19">
        <f t="shared" si="23"/>
        <v>1</v>
      </c>
      <c r="K107" s="60">
        <f t="shared" si="32"/>
        <v>49126</v>
      </c>
      <c r="L107" s="61">
        <f t="shared" si="33"/>
        <v>0</v>
      </c>
      <c r="M107" s="133">
        <f ca="1">IF(OR(F107&gt;$C$15, F107=0),0, 1*(1/(1+$C$30)^SUM(OFFSET($L$8, IF(F107=0, 1, 0), 0):L107)))*J107</f>
        <v>0</v>
      </c>
      <c r="N107" s="121">
        <f t="shared" ca="1" si="34"/>
        <v>0</v>
      </c>
      <c r="O107" s="63">
        <f t="shared" ca="1" si="24"/>
        <v>0</v>
      </c>
      <c r="P107" s="63">
        <f t="shared" ca="1" si="25"/>
        <v>0</v>
      </c>
      <c r="Q107" s="63">
        <f t="shared" ca="1" si="26"/>
        <v>0</v>
      </c>
      <c r="R107" s="132">
        <f t="shared" ca="1" si="27"/>
        <v>0</v>
      </c>
      <c r="S107" s="63">
        <f t="shared" si="28"/>
        <v>0</v>
      </c>
      <c r="T107" s="62">
        <f t="shared" ca="1" si="29"/>
        <v>0</v>
      </c>
      <c r="U107" s="43"/>
      <c r="V107" s="43"/>
      <c r="W107" s="43"/>
      <c r="X107" s="43"/>
      <c r="Y107" s="43"/>
      <c r="AA107" s="55" t="str">
        <f t="shared" si="30"/>
        <v/>
      </c>
      <c r="AB107" s="54" t="str">
        <f t="shared" ca="1" si="31"/>
        <v/>
      </c>
    </row>
    <row r="108" spans="1:28" x14ac:dyDescent="0.35">
      <c r="A108" s="71"/>
      <c r="B108" s="71"/>
      <c r="C108" s="112"/>
      <c r="D108" s="57"/>
      <c r="E108" s="34">
        <v>101</v>
      </c>
      <c r="F108" s="150">
        <f t="shared" si="22"/>
        <v>100</v>
      </c>
      <c r="G108" s="58">
        <f t="shared" si="35"/>
        <v>0</v>
      </c>
      <c r="H108" s="58">
        <f t="shared" si="20"/>
        <v>0</v>
      </c>
      <c r="I108" s="59">
        <f t="shared" si="21"/>
        <v>0</v>
      </c>
      <c r="J108" s="19">
        <f t="shared" si="23"/>
        <v>1</v>
      </c>
      <c r="K108" s="60">
        <f t="shared" si="32"/>
        <v>49157</v>
      </c>
      <c r="L108" s="61">
        <f t="shared" si="33"/>
        <v>0</v>
      </c>
      <c r="M108" s="133">
        <f ca="1">IF(OR(F108&gt;$C$15, F108=0),0, 1*(1/(1+$C$30)^SUM(OFFSET($L$8, IF(F108=0, 1, 0), 0):L108)))*J108</f>
        <v>0</v>
      </c>
      <c r="N108" s="121">
        <f t="shared" ca="1" si="34"/>
        <v>0</v>
      </c>
      <c r="O108" s="63">
        <f t="shared" ca="1" si="24"/>
        <v>0</v>
      </c>
      <c r="P108" s="63">
        <f t="shared" ca="1" si="25"/>
        <v>0</v>
      </c>
      <c r="Q108" s="63">
        <f t="shared" ca="1" si="26"/>
        <v>0</v>
      </c>
      <c r="R108" s="132">
        <f t="shared" ca="1" si="27"/>
        <v>0</v>
      </c>
      <c r="S108" s="63">
        <f t="shared" si="28"/>
        <v>0</v>
      </c>
      <c r="T108" s="62">
        <f t="shared" ca="1" si="29"/>
        <v>0</v>
      </c>
      <c r="U108" s="43"/>
      <c r="V108" s="43"/>
      <c r="W108" s="43"/>
      <c r="X108" s="43"/>
      <c r="Y108" s="43"/>
      <c r="AA108" s="55" t="str">
        <f t="shared" si="30"/>
        <v/>
      </c>
      <c r="AB108" s="54" t="str">
        <f t="shared" ca="1" si="31"/>
        <v/>
      </c>
    </row>
    <row r="109" spans="1:28" x14ac:dyDescent="0.35">
      <c r="A109" s="71"/>
      <c r="B109" s="71"/>
      <c r="C109" s="112"/>
      <c r="D109" s="57"/>
      <c r="E109" s="34">
        <v>102</v>
      </c>
      <c r="F109" s="150">
        <f t="shared" si="22"/>
        <v>101</v>
      </c>
      <c r="G109" s="58">
        <f t="shared" si="35"/>
        <v>0</v>
      </c>
      <c r="H109" s="58">
        <f t="shared" si="20"/>
        <v>0</v>
      </c>
      <c r="I109" s="59">
        <f t="shared" si="21"/>
        <v>0</v>
      </c>
      <c r="J109" s="19">
        <f t="shared" si="23"/>
        <v>1</v>
      </c>
      <c r="K109" s="60">
        <f t="shared" si="32"/>
        <v>49188</v>
      </c>
      <c r="L109" s="61">
        <f t="shared" si="33"/>
        <v>0</v>
      </c>
      <c r="M109" s="133">
        <f ca="1">IF(OR(F109&gt;$C$15, F109=0),0, 1*(1/(1+$C$30)^SUM(OFFSET($L$8, IF(F109=0, 1, 0), 0):L109)))*J109</f>
        <v>0</v>
      </c>
      <c r="N109" s="121">
        <f t="shared" ca="1" si="34"/>
        <v>0</v>
      </c>
      <c r="O109" s="63">
        <f t="shared" ca="1" si="24"/>
        <v>0</v>
      </c>
      <c r="P109" s="63">
        <f t="shared" ca="1" si="25"/>
        <v>0</v>
      </c>
      <c r="Q109" s="63">
        <f t="shared" ca="1" si="26"/>
        <v>0</v>
      </c>
      <c r="R109" s="132">
        <f t="shared" ca="1" si="27"/>
        <v>0</v>
      </c>
      <c r="S109" s="63">
        <f t="shared" si="28"/>
        <v>0</v>
      </c>
      <c r="T109" s="62">
        <f t="shared" ca="1" si="29"/>
        <v>0</v>
      </c>
      <c r="U109" s="43"/>
      <c r="V109" s="43"/>
      <c r="W109" s="43"/>
      <c r="X109" s="43"/>
      <c r="Y109" s="43"/>
      <c r="AA109" s="55" t="str">
        <f t="shared" si="30"/>
        <v/>
      </c>
      <c r="AB109" s="54" t="str">
        <f t="shared" ca="1" si="31"/>
        <v/>
      </c>
    </row>
    <row r="110" spans="1:28" x14ac:dyDescent="0.35">
      <c r="A110" s="71"/>
      <c r="B110" s="71"/>
      <c r="C110" s="112"/>
      <c r="D110" s="57"/>
      <c r="E110" s="34">
        <v>103</v>
      </c>
      <c r="F110" s="150">
        <f t="shared" si="22"/>
        <v>102</v>
      </c>
      <c r="G110" s="58">
        <f t="shared" si="35"/>
        <v>0</v>
      </c>
      <c r="H110" s="58">
        <f t="shared" si="20"/>
        <v>0</v>
      </c>
      <c r="I110" s="59">
        <f t="shared" si="21"/>
        <v>0</v>
      </c>
      <c r="J110" s="19">
        <f t="shared" si="23"/>
        <v>1</v>
      </c>
      <c r="K110" s="60">
        <f t="shared" si="32"/>
        <v>49218</v>
      </c>
      <c r="L110" s="61">
        <f t="shared" si="33"/>
        <v>0</v>
      </c>
      <c r="M110" s="133">
        <f ca="1">IF(OR(F110&gt;$C$15, F110=0),0, 1*(1/(1+$C$30)^SUM(OFFSET($L$8, IF(F110=0, 1, 0), 0):L110)))*J110</f>
        <v>0</v>
      </c>
      <c r="N110" s="121">
        <f t="shared" ca="1" si="34"/>
        <v>0</v>
      </c>
      <c r="O110" s="63">
        <f t="shared" ca="1" si="24"/>
        <v>0</v>
      </c>
      <c r="P110" s="63">
        <f t="shared" ca="1" si="25"/>
        <v>0</v>
      </c>
      <c r="Q110" s="63">
        <f t="shared" ca="1" si="26"/>
        <v>0</v>
      </c>
      <c r="R110" s="132">
        <f t="shared" ca="1" si="27"/>
        <v>0</v>
      </c>
      <c r="S110" s="63">
        <f t="shared" si="28"/>
        <v>0</v>
      </c>
      <c r="T110" s="62">
        <f t="shared" ca="1" si="29"/>
        <v>0</v>
      </c>
      <c r="U110" s="43"/>
      <c r="V110" s="43"/>
      <c r="W110" s="43"/>
      <c r="X110" s="43"/>
      <c r="Y110" s="43"/>
      <c r="AA110" s="55" t="str">
        <f t="shared" si="30"/>
        <v/>
      </c>
      <c r="AB110" s="54" t="str">
        <f t="shared" ca="1" si="31"/>
        <v/>
      </c>
    </row>
    <row r="111" spans="1:28" x14ac:dyDescent="0.35">
      <c r="A111" s="71"/>
      <c r="B111" s="71"/>
      <c r="C111" s="112"/>
      <c r="D111" s="57"/>
      <c r="E111" s="34">
        <v>104</v>
      </c>
      <c r="F111" s="150">
        <f t="shared" si="22"/>
        <v>103</v>
      </c>
      <c r="G111" s="58">
        <f t="shared" si="35"/>
        <v>0</v>
      </c>
      <c r="H111" s="58">
        <f t="shared" si="20"/>
        <v>0</v>
      </c>
      <c r="I111" s="59">
        <f t="shared" si="21"/>
        <v>0</v>
      </c>
      <c r="J111" s="19">
        <f t="shared" si="23"/>
        <v>1</v>
      </c>
      <c r="K111" s="60">
        <f t="shared" si="32"/>
        <v>49249</v>
      </c>
      <c r="L111" s="61">
        <f t="shared" si="33"/>
        <v>0</v>
      </c>
      <c r="M111" s="133">
        <f ca="1">IF(OR(F111&gt;$C$15, F111=0),0, 1*(1/(1+$C$30)^SUM(OFFSET($L$8, IF(F111=0, 1, 0), 0):L111)))*J111</f>
        <v>0</v>
      </c>
      <c r="N111" s="121">
        <f t="shared" ca="1" si="34"/>
        <v>0</v>
      </c>
      <c r="O111" s="63">
        <f t="shared" ca="1" si="24"/>
        <v>0</v>
      </c>
      <c r="P111" s="63">
        <f t="shared" ca="1" si="25"/>
        <v>0</v>
      </c>
      <c r="Q111" s="63">
        <f t="shared" ca="1" si="26"/>
        <v>0</v>
      </c>
      <c r="R111" s="132">
        <f t="shared" ca="1" si="27"/>
        <v>0</v>
      </c>
      <c r="S111" s="63">
        <f t="shared" si="28"/>
        <v>0</v>
      </c>
      <c r="T111" s="62">
        <f t="shared" ca="1" si="29"/>
        <v>0</v>
      </c>
      <c r="U111" s="43"/>
      <c r="V111" s="43"/>
      <c r="W111" s="43"/>
      <c r="X111" s="43"/>
      <c r="Y111" s="43"/>
      <c r="AA111" s="55" t="str">
        <f t="shared" si="30"/>
        <v/>
      </c>
      <c r="AB111" s="54" t="str">
        <f t="shared" ca="1" si="31"/>
        <v/>
      </c>
    </row>
    <row r="112" spans="1:28" x14ac:dyDescent="0.35">
      <c r="A112" s="71"/>
      <c r="B112" s="71"/>
      <c r="C112" s="112"/>
      <c r="D112" s="57"/>
      <c r="E112" s="34">
        <v>105</v>
      </c>
      <c r="F112" s="150">
        <f t="shared" si="22"/>
        <v>104</v>
      </c>
      <c r="G112" s="58">
        <f t="shared" si="35"/>
        <v>0</v>
      </c>
      <c r="H112" s="58">
        <f t="shared" si="20"/>
        <v>0</v>
      </c>
      <c r="I112" s="59">
        <f t="shared" si="21"/>
        <v>0</v>
      </c>
      <c r="J112" s="19">
        <f t="shared" si="23"/>
        <v>1</v>
      </c>
      <c r="K112" s="60">
        <f t="shared" si="32"/>
        <v>49279</v>
      </c>
      <c r="L112" s="61">
        <f t="shared" si="33"/>
        <v>0</v>
      </c>
      <c r="M112" s="133">
        <f ca="1">IF(OR(F112&gt;$C$15, F112=0),0, 1*(1/(1+$C$30)^SUM(OFFSET($L$8, IF(F112=0, 1, 0), 0):L112)))*J112</f>
        <v>0</v>
      </c>
      <c r="N112" s="121">
        <f t="shared" ca="1" si="34"/>
        <v>0</v>
      </c>
      <c r="O112" s="63">
        <f t="shared" ca="1" si="24"/>
        <v>0</v>
      </c>
      <c r="P112" s="63">
        <f t="shared" ca="1" si="25"/>
        <v>0</v>
      </c>
      <c r="Q112" s="63">
        <f t="shared" ca="1" si="26"/>
        <v>0</v>
      </c>
      <c r="R112" s="132">
        <f t="shared" ca="1" si="27"/>
        <v>0</v>
      </c>
      <c r="S112" s="63">
        <f t="shared" si="28"/>
        <v>0</v>
      </c>
      <c r="T112" s="62">
        <f t="shared" ca="1" si="29"/>
        <v>0</v>
      </c>
      <c r="U112" s="43"/>
      <c r="V112" s="43"/>
      <c r="W112" s="43"/>
      <c r="X112" s="43"/>
      <c r="Y112" s="43"/>
      <c r="AA112" s="55" t="str">
        <f t="shared" si="30"/>
        <v/>
      </c>
      <c r="AB112" s="54" t="str">
        <f t="shared" ca="1" si="31"/>
        <v/>
      </c>
    </row>
    <row r="113" spans="1:28" x14ac:dyDescent="0.35">
      <c r="A113" s="71"/>
      <c r="B113" s="71"/>
      <c r="C113" s="112"/>
      <c r="D113" s="57"/>
      <c r="E113" s="34">
        <v>106</v>
      </c>
      <c r="F113" s="150">
        <f t="shared" si="22"/>
        <v>105</v>
      </c>
      <c r="G113" s="58">
        <f t="shared" si="35"/>
        <v>0</v>
      </c>
      <c r="H113" s="58">
        <f t="shared" si="20"/>
        <v>0</v>
      </c>
      <c r="I113" s="59">
        <f t="shared" si="21"/>
        <v>0</v>
      </c>
      <c r="J113" s="19">
        <f t="shared" si="23"/>
        <v>1</v>
      </c>
      <c r="K113" s="60">
        <f t="shared" si="32"/>
        <v>49310</v>
      </c>
      <c r="L113" s="61">
        <f t="shared" si="33"/>
        <v>0</v>
      </c>
      <c r="M113" s="133">
        <f ca="1">IF(OR(F113&gt;$C$15, F113=0),0, 1*(1/(1+$C$30)^SUM(OFFSET($L$8, IF(F113=0, 1, 0), 0):L113)))*J113</f>
        <v>0</v>
      </c>
      <c r="N113" s="121">
        <f t="shared" ca="1" si="34"/>
        <v>0</v>
      </c>
      <c r="O113" s="63">
        <f t="shared" ca="1" si="24"/>
        <v>0</v>
      </c>
      <c r="P113" s="63">
        <f t="shared" ca="1" si="25"/>
        <v>0</v>
      </c>
      <c r="Q113" s="63">
        <f t="shared" ca="1" si="26"/>
        <v>0</v>
      </c>
      <c r="R113" s="132">
        <f t="shared" ca="1" si="27"/>
        <v>0</v>
      </c>
      <c r="S113" s="63">
        <f t="shared" si="28"/>
        <v>0</v>
      </c>
      <c r="T113" s="62">
        <f t="shared" ca="1" si="29"/>
        <v>0</v>
      </c>
      <c r="U113" s="43"/>
      <c r="V113" s="43"/>
      <c r="W113" s="43"/>
      <c r="X113" s="43"/>
      <c r="Y113" s="43"/>
      <c r="AA113" s="55" t="str">
        <f t="shared" si="30"/>
        <v/>
      </c>
      <c r="AB113" s="54" t="str">
        <f t="shared" ca="1" si="31"/>
        <v/>
      </c>
    </row>
    <row r="114" spans="1:28" x14ac:dyDescent="0.35">
      <c r="A114" s="71"/>
      <c r="B114" s="71"/>
      <c r="C114" s="112"/>
      <c r="D114" s="57"/>
      <c r="E114" s="34">
        <v>107</v>
      </c>
      <c r="F114" s="150">
        <f t="shared" si="22"/>
        <v>106</v>
      </c>
      <c r="G114" s="58">
        <f t="shared" si="35"/>
        <v>0</v>
      </c>
      <c r="H114" s="58">
        <f t="shared" si="20"/>
        <v>0</v>
      </c>
      <c r="I114" s="59">
        <f t="shared" si="21"/>
        <v>0</v>
      </c>
      <c r="J114" s="19">
        <f t="shared" si="23"/>
        <v>1</v>
      </c>
      <c r="K114" s="60">
        <f t="shared" si="32"/>
        <v>49341</v>
      </c>
      <c r="L114" s="61">
        <f t="shared" si="33"/>
        <v>0</v>
      </c>
      <c r="M114" s="133">
        <f ca="1">IF(OR(F114&gt;$C$15, F114=0),0, 1*(1/(1+$C$30)^SUM(OFFSET($L$8, IF(F114=0, 1, 0), 0):L114)))*J114</f>
        <v>0</v>
      </c>
      <c r="N114" s="121">
        <f t="shared" ca="1" si="34"/>
        <v>0</v>
      </c>
      <c r="O114" s="63">
        <f t="shared" ca="1" si="24"/>
        <v>0</v>
      </c>
      <c r="P114" s="63">
        <f t="shared" ca="1" si="25"/>
        <v>0</v>
      </c>
      <c r="Q114" s="63">
        <f t="shared" ca="1" si="26"/>
        <v>0</v>
      </c>
      <c r="R114" s="132">
        <f t="shared" ca="1" si="27"/>
        <v>0</v>
      </c>
      <c r="S114" s="63">
        <f t="shared" si="28"/>
        <v>0</v>
      </c>
      <c r="T114" s="62">
        <f t="shared" ca="1" si="29"/>
        <v>0</v>
      </c>
      <c r="U114" s="43"/>
      <c r="V114" s="43"/>
      <c r="W114" s="43"/>
      <c r="X114" s="43"/>
      <c r="Y114" s="43"/>
      <c r="AA114" s="55" t="str">
        <f t="shared" si="30"/>
        <v/>
      </c>
      <c r="AB114" s="54" t="str">
        <f t="shared" ca="1" si="31"/>
        <v/>
      </c>
    </row>
    <row r="115" spans="1:28" x14ac:dyDescent="0.35">
      <c r="A115" s="71"/>
      <c r="B115" s="71"/>
      <c r="C115" s="112"/>
      <c r="D115" s="57"/>
      <c r="E115" s="34">
        <v>108</v>
      </c>
      <c r="F115" s="150">
        <f t="shared" si="22"/>
        <v>107</v>
      </c>
      <c r="G115" s="58">
        <f t="shared" si="35"/>
        <v>0</v>
      </c>
      <c r="H115" s="58">
        <f t="shared" si="20"/>
        <v>0</v>
      </c>
      <c r="I115" s="59">
        <f t="shared" si="21"/>
        <v>0</v>
      </c>
      <c r="J115" s="19">
        <f t="shared" si="23"/>
        <v>1</v>
      </c>
      <c r="K115" s="60">
        <f t="shared" si="32"/>
        <v>49369</v>
      </c>
      <c r="L115" s="61">
        <f t="shared" si="33"/>
        <v>0</v>
      </c>
      <c r="M115" s="133">
        <f ca="1">IF(OR(F115&gt;$C$15, F115=0),0, 1*(1/(1+$C$30)^SUM(OFFSET($L$8, IF(F115=0, 1, 0), 0):L115)))*J115</f>
        <v>0</v>
      </c>
      <c r="N115" s="121">
        <f t="shared" ca="1" si="34"/>
        <v>0</v>
      </c>
      <c r="O115" s="63">
        <f t="shared" ca="1" si="24"/>
        <v>0</v>
      </c>
      <c r="P115" s="63">
        <f t="shared" ca="1" si="25"/>
        <v>0</v>
      </c>
      <c r="Q115" s="63">
        <f t="shared" ca="1" si="26"/>
        <v>0</v>
      </c>
      <c r="R115" s="132">
        <f t="shared" ca="1" si="27"/>
        <v>0</v>
      </c>
      <c r="S115" s="63">
        <f t="shared" si="28"/>
        <v>0</v>
      </c>
      <c r="T115" s="62">
        <f t="shared" ca="1" si="29"/>
        <v>0</v>
      </c>
      <c r="U115" s="43"/>
      <c r="V115" s="43"/>
      <c r="W115" s="43"/>
      <c r="X115" s="43"/>
      <c r="Y115" s="43"/>
      <c r="AA115" s="55" t="str">
        <f t="shared" si="30"/>
        <v/>
      </c>
      <c r="AB115" s="54" t="str">
        <f t="shared" ca="1" si="31"/>
        <v/>
      </c>
    </row>
    <row r="116" spans="1:28" x14ac:dyDescent="0.35">
      <c r="A116" s="71"/>
      <c r="B116" s="71"/>
      <c r="C116" s="112"/>
      <c r="D116" s="57"/>
      <c r="E116" s="34">
        <v>109</v>
      </c>
      <c r="F116" s="150">
        <f t="shared" si="22"/>
        <v>108</v>
      </c>
      <c r="G116" s="58">
        <f t="shared" si="35"/>
        <v>0</v>
      </c>
      <c r="H116" s="58">
        <f t="shared" si="20"/>
        <v>0</v>
      </c>
      <c r="I116" s="59">
        <f t="shared" si="21"/>
        <v>0</v>
      </c>
      <c r="J116" s="19">
        <f t="shared" si="23"/>
        <v>1</v>
      </c>
      <c r="K116" s="60">
        <f t="shared" si="32"/>
        <v>49400</v>
      </c>
      <c r="L116" s="61">
        <f t="shared" si="33"/>
        <v>0</v>
      </c>
      <c r="M116" s="133">
        <f ca="1">IF(OR(F116&gt;$C$15, F116=0),0, 1*(1/(1+$C$30)^SUM(OFFSET($L$8, IF(F116=0, 1, 0), 0):L116)))*J116</f>
        <v>0</v>
      </c>
      <c r="N116" s="121">
        <f t="shared" ca="1" si="34"/>
        <v>0</v>
      </c>
      <c r="O116" s="63">
        <f t="shared" ca="1" si="24"/>
        <v>0</v>
      </c>
      <c r="P116" s="63">
        <f t="shared" ca="1" si="25"/>
        <v>0</v>
      </c>
      <c r="Q116" s="63">
        <f t="shared" ca="1" si="26"/>
        <v>0</v>
      </c>
      <c r="R116" s="132">
        <f t="shared" ca="1" si="27"/>
        <v>0</v>
      </c>
      <c r="S116" s="63">
        <f t="shared" si="28"/>
        <v>0</v>
      </c>
      <c r="T116" s="62">
        <f t="shared" ca="1" si="29"/>
        <v>0</v>
      </c>
      <c r="U116" s="43"/>
      <c r="V116" s="43"/>
      <c r="W116" s="43"/>
      <c r="X116" s="43"/>
      <c r="Y116" s="43"/>
      <c r="AA116" s="55" t="str">
        <f t="shared" si="30"/>
        <v/>
      </c>
      <c r="AB116" s="54" t="str">
        <f t="shared" ca="1" si="31"/>
        <v/>
      </c>
    </row>
    <row r="117" spans="1:28" x14ac:dyDescent="0.35">
      <c r="A117" s="71"/>
      <c r="B117" s="71"/>
      <c r="C117" s="112"/>
      <c r="D117" s="57"/>
      <c r="E117" s="34">
        <v>110</v>
      </c>
      <c r="F117" s="150">
        <f t="shared" si="22"/>
        <v>109</v>
      </c>
      <c r="G117" s="58">
        <f t="shared" si="35"/>
        <v>0</v>
      </c>
      <c r="H117" s="58">
        <f t="shared" si="20"/>
        <v>0</v>
      </c>
      <c r="I117" s="59">
        <f t="shared" si="21"/>
        <v>0</v>
      </c>
      <c r="J117" s="19">
        <f t="shared" si="23"/>
        <v>1</v>
      </c>
      <c r="K117" s="60">
        <f t="shared" si="32"/>
        <v>49430</v>
      </c>
      <c r="L117" s="61">
        <f t="shared" si="33"/>
        <v>0</v>
      </c>
      <c r="M117" s="133">
        <f ca="1">IF(OR(F117&gt;$C$15, F117=0),0, 1*(1/(1+$C$30)^SUM(OFFSET($L$8, IF(F117=0, 1, 0), 0):L117)))*J117</f>
        <v>0</v>
      </c>
      <c r="N117" s="121">
        <f t="shared" ca="1" si="34"/>
        <v>0</v>
      </c>
      <c r="O117" s="63">
        <f t="shared" ca="1" si="24"/>
        <v>0</v>
      </c>
      <c r="P117" s="63">
        <f t="shared" ca="1" si="25"/>
        <v>0</v>
      </c>
      <c r="Q117" s="63">
        <f t="shared" ca="1" si="26"/>
        <v>0</v>
      </c>
      <c r="R117" s="132">
        <f t="shared" ca="1" si="27"/>
        <v>0</v>
      </c>
      <c r="S117" s="63">
        <f t="shared" si="28"/>
        <v>0</v>
      </c>
      <c r="T117" s="62">
        <f t="shared" ca="1" si="29"/>
        <v>0</v>
      </c>
      <c r="U117" s="43"/>
      <c r="V117" s="43"/>
      <c r="W117" s="43"/>
      <c r="X117" s="43"/>
      <c r="Y117" s="43"/>
      <c r="AA117" s="55" t="str">
        <f t="shared" si="30"/>
        <v/>
      </c>
      <c r="AB117" s="54" t="str">
        <f t="shared" ca="1" si="31"/>
        <v/>
      </c>
    </row>
    <row r="118" spans="1:28" x14ac:dyDescent="0.35">
      <c r="A118" s="71"/>
      <c r="B118" s="71"/>
      <c r="C118" s="112"/>
      <c r="D118" s="57"/>
      <c r="E118" s="34">
        <v>111</v>
      </c>
      <c r="F118" s="150">
        <f t="shared" si="22"/>
        <v>110</v>
      </c>
      <c r="G118" s="58">
        <f t="shared" si="35"/>
        <v>0</v>
      </c>
      <c r="H118" s="58">
        <f t="shared" si="20"/>
        <v>0</v>
      </c>
      <c r="I118" s="59">
        <f t="shared" si="21"/>
        <v>0</v>
      </c>
      <c r="J118" s="19">
        <f t="shared" si="23"/>
        <v>1</v>
      </c>
      <c r="K118" s="60">
        <f t="shared" si="32"/>
        <v>49461</v>
      </c>
      <c r="L118" s="61">
        <f t="shared" si="33"/>
        <v>0</v>
      </c>
      <c r="M118" s="133">
        <f ca="1">IF(OR(F118&gt;$C$15, F118=0),0, 1*(1/(1+$C$30)^SUM(OFFSET($L$8, IF(F118=0, 1, 0), 0):L118)))*J118</f>
        <v>0</v>
      </c>
      <c r="N118" s="121">
        <f t="shared" ca="1" si="34"/>
        <v>0</v>
      </c>
      <c r="O118" s="63">
        <f t="shared" ca="1" si="24"/>
        <v>0</v>
      </c>
      <c r="P118" s="63">
        <f t="shared" ca="1" si="25"/>
        <v>0</v>
      </c>
      <c r="Q118" s="63">
        <f t="shared" ca="1" si="26"/>
        <v>0</v>
      </c>
      <c r="R118" s="132">
        <f t="shared" ca="1" si="27"/>
        <v>0</v>
      </c>
      <c r="S118" s="63">
        <f t="shared" si="28"/>
        <v>0</v>
      </c>
      <c r="T118" s="62">
        <f t="shared" ca="1" si="29"/>
        <v>0</v>
      </c>
      <c r="U118" s="43"/>
      <c r="V118" s="43"/>
      <c r="W118" s="43"/>
      <c r="X118" s="43"/>
      <c r="Y118" s="43"/>
      <c r="AA118" s="55" t="str">
        <f t="shared" si="30"/>
        <v/>
      </c>
      <c r="AB118" s="54" t="str">
        <f t="shared" ca="1" si="31"/>
        <v/>
      </c>
    </row>
    <row r="119" spans="1:28" x14ac:dyDescent="0.35">
      <c r="A119" s="71"/>
      <c r="B119" s="71"/>
      <c r="C119" s="112"/>
      <c r="D119" s="57"/>
      <c r="E119" s="34">
        <v>112</v>
      </c>
      <c r="F119" s="150">
        <f t="shared" si="22"/>
        <v>111</v>
      </c>
      <c r="G119" s="58">
        <f t="shared" si="35"/>
        <v>0</v>
      </c>
      <c r="H119" s="58">
        <f t="shared" si="20"/>
        <v>0</v>
      </c>
      <c r="I119" s="59">
        <f t="shared" si="21"/>
        <v>0</v>
      </c>
      <c r="J119" s="19">
        <f t="shared" si="23"/>
        <v>1</v>
      </c>
      <c r="K119" s="60">
        <f t="shared" si="32"/>
        <v>49491</v>
      </c>
      <c r="L119" s="61">
        <f t="shared" si="33"/>
        <v>0</v>
      </c>
      <c r="M119" s="133">
        <f ca="1">IF(OR(F119&gt;$C$15, F119=0),0, 1*(1/(1+$C$30)^SUM(OFFSET($L$8, IF(F119=0, 1, 0), 0):L119)))*J119</f>
        <v>0</v>
      </c>
      <c r="N119" s="121">
        <f t="shared" ca="1" si="34"/>
        <v>0</v>
      </c>
      <c r="O119" s="63">
        <f t="shared" ca="1" si="24"/>
        <v>0</v>
      </c>
      <c r="P119" s="63">
        <f t="shared" ca="1" si="25"/>
        <v>0</v>
      </c>
      <c r="Q119" s="63">
        <f t="shared" ca="1" si="26"/>
        <v>0</v>
      </c>
      <c r="R119" s="132">
        <f t="shared" ca="1" si="27"/>
        <v>0</v>
      </c>
      <c r="S119" s="63">
        <f t="shared" si="28"/>
        <v>0</v>
      </c>
      <c r="T119" s="62">
        <f t="shared" ca="1" si="29"/>
        <v>0</v>
      </c>
      <c r="U119" s="43"/>
      <c r="V119" s="43"/>
      <c r="W119" s="43"/>
      <c r="X119" s="43"/>
      <c r="Y119" s="43"/>
      <c r="AA119" s="55" t="str">
        <f t="shared" si="30"/>
        <v/>
      </c>
      <c r="AB119" s="54" t="str">
        <f t="shared" ca="1" si="31"/>
        <v/>
      </c>
    </row>
    <row r="120" spans="1:28" x14ac:dyDescent="0.35">
      <c r="A120" s="71"/>
      <c r="B120" s="71"/>
      <c r="C120" s="112"/>
      <c r="D120" s="57"/>
      <c r="E120" s="34">
        <v>113</v>
      </c>
      <c r="F120" s="150">
        <f t="shared" si="22"/>
        <v>112</v>
      </c>
      <c r="G120" s="58">
        <f t="shared" si="35"/>
        <v>0</v>
      </c>
      <c r="H120" s="58">
        <f t="shared" si="20"/>
        <v>0</v>
      </c>
      <c r="I120" s="59">
        <f t="shared" si="21"/>
        <v>0</v>
      </c>
      <c r="J120" s="19">
        <f t="shared" si="23"/>
        <v>1</v>
      </c>
      <c r="K120" s="60">
        <f t="shared" si="32"/>
        <v>49522</v>
      </c>
      <c r="L120" s="61">
        <f t="shared" si="33"/>
        <v>0</v>
      </c>
      <c r="M120" s="133">
        <f ca="1">IF(OR(F120&gt;$C$15, F120=0),0, 1*(1/(1+$C$30)^SUM(OFFSET($L$8, IF(F120=0, 1, 0), 0):L120)))*J120</f>
        <v>0</v>
      </c>
      <c r="N120" s="121">
        <f t="shared" ca="1" si="34"/>
        <v>0</v>
      </c>
      <c r="O120" s="63">
        <f t="shared" ca="1" si="24"/>
        <v>0</v>
      </c>
      <c r="P120" s="63">
        <f t="shared" ca="1" si="25"/>
        <v>0</v>
      </c>
      <c r="Q120" s="63">
        <f t="shared" ca="1" si="26"/>
        <v>0</v>
      </c>
      <c r="R120" s="132">
        <f t="shared" ca="1" si="27"/>
        <v>0</v>
      </c>
      <c r="S120" s="63">
        <f t="shared" si="28"/>
        <v>0</v>
      </c>
      <c r="T120" s="62">
        <f t="shared" ca="1" si="29"/>
        <v>0</v>
      </c>
      <c r="U120" s="43"/>
      <c r="V120" s="43"/>
      <c r="W120" s="43"/>
      <c r="X120" s="43"/>
      <c r="Y120" s="43"/>
      <c r="AA120" s="55" t="str">
        <f t="shared" si="30"/>
        <v/>
      </c>
      <c r="AB120" s="54" t="str">
        <f t="shared" ca="1" si="31"/>
        <v/>
      </c>
    </row>
    <row r="121" spans="1:28" x14ac:dyDescent="0.35">
      <c r="A121" s="71"/>
      <c r="B121" s="71"/>
      <c r="C121" s="112"/>
      <c r="D121" s="57"/>
      <c r="E121" s="34">
        <v>114</v>
      </c>
      <c r="F121" s="150">
        <f t="shared" si="22"/>
        <v>113</v>
      </c>
      <c r="G121" s="58">
        <f t="shared" si="35"/>
        <v>0</v>
      </c>
      <c r="H121" s="58">
        <f t="shared" si="20"/>
        <v>0</v>
      </c>
      <c r="I121" s="59">
        <f t="shared" si="21"/>
        <v>0</v>
      </c>
      <c r="J121" s="19">
        <f t="shared" si="23"/>
        <v>1</v>
      </c>
      <c r="K121" s="60">
        <f t="shared" si="32"/>
        <v>49553</v>
      </c>
      <c r="L121" s="61">
        <f t="shared" si="33"/>
        <v>0</v>
      </c>
      <c r="M121" s="133">
        <f ca="1">IF(OR(F121&gt;$C$15, F121=0),0, 1*(1/(1+$C$30)^SUM(OFFSET($L$8, IF(F121=0, 1, 0), 0):L121)))*J121</f>
        <v>0</v>
      </c>
      <c r="N121" s="121">
        <f t="shared" ca="1" si="34"/>
        <v>0</v>
      </c>
      <c r="O121" s="63">
        <f t="shared" ca="1" si="24"/>
        <v>0</v>
      </c>
      <c r="P121" s="63">
        <f t="shared" ca="1" si="25"/>
        <v>0</v>
      </c>
      <c r="Q121" s="63">
        <f t="shared" ca="1" si="26"/>
        <v>0</v>
      </c>
      <c r="R121" s="132">
        <f t="shared" ca="1" si="27"/>
        <v>0</v>
      </c>
      <c r="S121" s="63">
        <f t="shared" si="28"/>
        <v>0</v>
      </c>
      <c r="T121" s="62">
        <f t="shared" ca="1" si="29"/>
        <v>0</v>
      </c>
      <c r="U121" s="43"/>
      <c r="V121" s="43"/>
      <c r="W121" s="43"/>
      <c r="X121" s="43"/>
      <c r="Y121" s="43"/>
      <c r="AA121" s="55" t="str">
        <f t="shared" si="30"/>
        <v/>
      </c>
      <c r="AB121" s="54" t="str">
        <f t="shared" ca="1" si="31"/>
        <v/>
      </c>
    </row>
    <row r="122" spans="1:28" x14ac:dyDescent="0.35">
      <c r="A122" s="71"/>
      <c r="B122" s="71"/>
      <c r="C122" s="112"/>
      <c r="D122" s="57"/>
      <c r="E122" s="34">
        <v>115</v>
      </c>
      <c r="F122" s="150">
        <f t="shared" si="22"/>
        <v>114</v>
      </c>
      <c r="G122" s="58">
        <f t="shared" si="35"/>
        <v>0</v>
      </c>
      <c r="H122" s="58">
        <f t="shared" si="20"/>
        <v>0</v>
      </c>
      <c r="I122" s="59">
        <f t="shared" si="21"/>
        <v>0</v>
      </c>
      <c r="J122" s="19">
        <f t="shared" si="23"/>
        <v>1</v>
      </c>
      <c r="K122" s="60">
        <f t="shared" si="32"/>
        <v>49583</v>
      </c>
      <c r="L122" s="61">
        <f t="shared" si="33"/>
        <v>0</v>
      </c>
      <c r="M122" s="133">
        <f ca="1">IF(OR(F122&gt;$C$15, F122=0),0, 1*(1/(1+$C$30)^SUM(OFFSET($L$8, IF(F122=0, 1, 0), 0):L122)))*J122</f>
        <v>0</v>
      </c>
      <c r="N122" s="121">
        <f t="shared" ca="1" si="34"/>
        <v>0</v>
      </c>
      <c r="O122" s="63">
        <f t="shared" ca="1" si="24"/>
        <v>0</v>
      </c>
      <c r="P122" s="63">
        <f t="shared" ca="1" si="25"/>
        <v>0</v>
      </c>
      <c r="Q122" s="63">
        <f t="shared" ca="1" si="26"/>
        <v>0</v>
      </c>
      <c r="R122" s="132">
        <f t="shared" ca="1" si="27"/>
        <v>0</v>
      </c>
      <c r="S122" s="63">
        <f t="shared" si="28"/>
        <v>0</v>
      </c>
      <c r="T122" s="62">
        <f t="shared" ca="1" si="29"/>
        <v>0</v>
      </c>
      <c r="U122" s="43"/>
      <c r="V122" s="43"/>
      <c r="W122" s="43"/>
      <c r="X122" s="43"/>
      <c r="Y122" s="43"/>
      <c r="AA122" s="55" t="str">
        <f t="shared" si="30"/>
        <v/>
      </c>
      <c r="AB122" s="54" t="str">
        <f t="shared" ca="1" si="31"/>
        <v/>
      </c>
    </row>
    <row r="123" spans="1:28" x14ac:dyDescent="0.35">
      <c r="A123" s="71"/>
      <c r="B123" s="71"/>
      <c r="C123" s="112"/>
      <c r="D123" s="57"/>
      <c r="E123" s="34">
        <v>116</v>
      </c>
      <c r="F123" s="150">
        <f t="shared" si="22"/>
        <v>115</v>
      </c>
      <c r="G123" s="58">
        <f t="shared" si="35"/>
        <v>0</v>
      </c>
      <c r="H123" s="58">
        <f t="shared" si="20"/>
        <v>0</v>
      </c>
      <c r="I123" s="59">
        <f t="shared" si="21"/>
        <v>0</v>
      </c>
      <c r="J123" s="19">
        <f t="shared" si="23"/>
        <v>1</v>
      </c>
      <c r="K123" s="60">
        <f t="shared" si="32"/>
        <v>49614</v>
      </c>
      <c r="L123" s="61">
        <f t="shared" si="33"/>
        <v>0</v>
      </c>
      <c r="M123" s="133">
        <f ca="1">IF(OR(F123&gt;$C$15, F123=0),0, 1*(1/(1+$C$30)^SUM(OFFSET($L$8, IF(F123=0, 1, 0), 0):L123)))*J123</f>
        <v>0</v>
      </c>
      <c r="N123" s="121">
        <f t="shared" ca="1" si="34"/>
        <v>0</v>
      </c>
      <c r="O123" s="63">
        <f t="shared" ca="1" si="24"/>
        <v>0</v>
      </c>
      <c r="P123" s="63">
        <f t="shared" ca="1" si="25"/>
        <v>0</v>
      </c>
      <c r="Q123" s="63">
        <f t="shared" ca="1" si="26"/>
        <v>0</v>
      </c>
      <c r="R123" s="132">
        <f t="shared" ca="1" si="27"/>
        <v>0</v>
      </c>
      <c r="S123" s="63">
        <f t="shared" si="28"/>
        <v>0</v>
      </c>
      <c r="T123" s="62">
        <f t="shared" ca="1" si="29"/>
        <v>0</v>
      </c>
      <c r="U123" s="43"/>
      <c r="V123" s="43"/>
      <c r="W123" s="43"/>
      <c r="X123" s="43"/>
      <c r="Y123" s="43"/>
      <c r="AA123" s="55" t="str">
        <f t="shared" si="30"/>
        <v/>
      </c>
      <c r="AB123" s="54" t="str">
        <f t="shared" ca="1" si="31"/>
        <v/>
      </c>
    </row>
    <row r="124" spans="1:28" x14ac:dyDescent="0.35">
      <c r="A124" s="71"/>
      <c r="B124" s="71"/>
      <c r="C124" s="112"/>
      <c r="D124" s="57"/>
      <c r="E124" s="34">
        <v>117</v>
      </c>
      <c r="F124" s="150">
        <f t="shared" si="22"/>
        <v>116</v>
      </c>
      <c r="G124" s="58">
        <f t="shared" si="35"/>
        <v>0</v>
      </c>
      <c r="H124" s="58">
        <f t="shared" si="20"/>
        <v>0</v>
      </c>
      <c r="I124" s="59">
        <f t="shared" si="21"/>
        <v>0</v>
      </c>
      <c r="J124" s="19">
        <f t="shared" si="23"/>
        <v>1</v>
      </c>
      <c r="K124" s="60">
        <f t="shared" si="32"/>
        <v>49644</v>
      </c>
      <c r="L124" s="61">
        <f t="shared" si="33"/>
        <v>0</v>
      </c>
      <c r="M124" s="133">
        <f ca="1">IF(OR(F124&gt;$C$15, F124=0),0, 1*(1/(1+$C$30)^SUM(OFFSET($L$8, IF(F124=0, 1, 0), 0):L124)))*J124</f>
        <v>0</v>
      </c>
      <c r="N124" s="121">
        <f t="shared" ca="1" si="34"/>
        <v>0</v>
      </c>
      <c r="O124" s="63">
        <f t="shared" ca="1" si="24"/>
        <v>0</v>
      </c>
      <c r="P124" s="63">
        <f t="shared" ca="1" si="25"/>
        <v>0</v>
      </c>
      <c r="Q124" s="63">
        <f t="shared" ca="1" si="26"/>
        <v>0</v>
      </c>
      <c r="R124" s="132">
        <f t="shared" ca="1" si="27"/>
        <v>0</v>
      </c>
      <c r="S124" s="63">
        <f t="shared" si="28"/>
        <v>0</v>
      </c>
      <c r="T124" s="62">
        <f t="shared" ca="1" si="29"/>
        <v>0</v>
      </c>
      <c r="U124" s="43"/>
      <c r="V124" s="43"/>
      <c r="W124" s="43"/>
      <c r="X124" s="43"/>
      <c r="Y124" s="43"/>
      <c r="AA124" s="55" t="str">
        <f t="shared" si="30"/>
        <v/>
      </c>
      <c r="AB124" s="54" t="str">
        <f t="shared" ca="1" si="31"/>
        <v/>
      </c>
    </row>
    <row r="125" spans="1:28" x14ac:dyDescent="0.35">
      <c r="A125" s="71"/>
      <c r="B125" s="71"/>
      <c r="C125" s="112"/>
      <c r="D125" s="57"/>
      <c r="E125" s="34">
        <v>118</v>
      </c>
      <c r="F125" s="150">
        <f t="shared" si="22"/>
        <v>117</v>
      </c>
      <c r="G125" s="58">
        <f t="shared" si="35"/>
        <v>0</v>
      </c>
      <c r="H125" s="58">
        <f t="shared" si="20"/>
        <v>0</v>
      </c>
      <c r="I125" s="59">
        <f t="shared" si="21"/>
        <v>0</v>
      </c>
      <c r="J125" s="19">
        <f t="shared" si="23"/>
        <v>1</v>
      </c>
      <c r="K125" s="60">
        <f t="shared" si="32"/>
        <v>49675</v>
      </c>
      <c r="L125" s="61">
        <f t="shared" si="33"/>
        <v>0</v>
      </c>
      <c r="M125" s="133">
        <f ca="1">IF(OR(F125&gt;$C$15, F125=0),0, 1*(1/(1+$C$30)^SUM(OFFSET($L$8, IF(F125=0, 1, 0), 0):L125)))*J125</f>
        <v>0</v>
      </c>
      <c r="N125" s="121">
        <f t="shared" ca="1" si="34"/>
        <v>0</v>
      </c>
      <c r="O125" s="63">
        <f t="shared" ca="1" si="24"/>
        <v>0</v>
      </c>
      <c r="P125" s="63">
        <f t="shared" ca="1" si="25"/>
        <v>0</v>
      </c>
      <c r="Q125" s="63">
        <f t="shared" ca="1" si="26"/>
        <v>0</v>
      </c>
      <c r="R125" s="132">
        <f t="shared" ca="1" si="27"/>
        <v>0</v>
      </c>
      <c r="S125" s="63">
        <f t="shared" si="28"/>
        <v>0</v>
      </c>
      <c r="T125" s="62">
        <f t="shared" ca="1" si="29"/>
        <v>0</v>
      </c>
      <c r="U125" s="43"/>
      <c r="V125" s="43"/>
      <c r="W125" s="43"/>
      <c r="X125" s="43"/>
      <c r="Y125" s="43"/>
      <c r="AA125" s="55" t="str">
        <f t="shared" si="30"/>
        <v/>
      </c>
      <c r="AB125" s="54" t="str">
        <f t="shared" ca="1" si="31"/>
        <v/>
      </c>
    </row>
    <row r="126" spans="1:28" x14ac:dyDescent="0.35">
      <c r="A126" s="71"/>
      <c r="B126" s="71"/>
      <c r="C126" s="112"/>
      <c r="D126" s="57"/>
      <c r="E126" s="34">
        <v>119</v>
      </c>
      <c r="F126" s="150">
        <f t="shared" si="22"/>
        <v>118</v>
      </c>
      <c r="G126" s="58">
        <f t="shared" si="35"/>
        <v>0</v>
      </c>
      <c r="H126" s="58">
        <f t="shared" si="20"/>
        <v>0</v>
      </c>
      <c r="I126" s="59">
        <f t="shared" si="21"/>
        <v>0</v>
      </c>
      <c r="J126" s="19">
        <f t="shared" si="23"/>
        <v>1</v>
      </c>
      <c r="K126" s="60">
        <f t="shared" si="32"/>
        <v>49706</v>
      </c>
      <c r="L126" s="61">
        <f t="shared" si="33"/>
        <v>0</v>
      </c>
      <c r="M126" s="133">
        <f ca="1">IF(OR(F126&gt;$C$15, F126=0),0, 1*(1/(1+$C$30)^SUM(OFFSET($L$8, IF(F126=0, 1, 0), 0):L126)))*J126</f>
        <v>0</v>
      </c>
      <c r="N126" s="121">
        <f t="shared" ca="1" si="34"/>
        <v>0</v>
      </c>
      <c r="O126" s="63">
        <f t="shared" ca="1" si="24"/>
        <v>0</v>
      </c>
      <c r="P126" s="63">
        <f t="shared" ca="1" si="25"/>
        <v>0</v>
      </c>
      <c r="Q126" s="63">
        <f t="shared" ca="1" si="26"/>
        <v>0</v>
      </c>
      <c r="R126" s="132">
        <f t="shared" ca="1" si="27"/>
        <v>0</v>
      </c>
      <c r="S126" s="63">
        <f t="shared" si="28"/>
        <v>0</v>
      </c>
      <c r="T126" s="62">
        <f t="shared" ca="1" si="29"/>
        <v>0</v>
      </c>
      <c r="U126" s="43"/>
      <c r="V126" s="43"/>
      <c r="W126" s="43"/>
      <c r="X126" s="43"/>
      <c r="Y126" s="43"/>
      <c r="AA126" s="55" t="str">
        <f t="shared" si="30"/>
        <v/>
      </c>
      <c r="AB126" s="54" t="str">
        <f t="shared" ca="1" si="31"/>
        <v/>
      </c>
    </row>
    <row r="127" spans="1:28" x14ac:dyDescent="0.35">
      <c r="A127" s="71"/>
      <c r="B127" s="71"/>
      <c r="C127" s="112"/>
      <c r="D127" s="57"/>
      <c r="E127" s="34">
        <v>120</v>
      </c>
      <c r="F127" s="150">
        <f t="shared" si="22"/>
        <v>119</v>
      </c>
      <c r="G127" s="58">
        <f t="shared" si="35"/>
        <v>0</v>
      </c>
      <c r="H127" s="58">
        <f t="shared" si="20"/>
        <v>0</v>
      </c>
      <c r="I127" s="59">
        <f t="shared" si="21"/>
        <v>0</v>
      </c>
      <c r="J127" s="19">
        <f t="shared" si="23"/>
        <v>1</v>
      </c>
      <c r="K127" s="60">
        <f t="shared" si="32"/>
        <v>49735</v>
      </c>
      <c r="L127" s="61">
        <f t="shared" si="33"/>
        <v>0</v>
      </c>
      <c r="M127" s="133">
        <f ca="1">IF(OR(F127&gt;$C$15, F127=0),0, 1*(1/(1+$C$30)^SUM(OFFSET($L$8, IF(F127=0, 1, 0), 0):L127)))*J127</f>
        <v>0</v>
      </c>
      <c r="N127" s="121">
        <f t="shared" ca="1" si="34"/>
        <v>0</v>
      </c>
      <c r="O127" s="63">
        <f t="shared" ca="1" si="24"/>
        <v>0</v>
      </c>
      <c r="P127" s="63">
        <f t="shared" ca="1" si="25"/>
        <v>0</v>
      </c>
      <c r="Q127" s="63">
        <f t="shared" ca="1" si="26"/>
        <v>0</v>
      </c>
      <c r="R127" s="132">
        <f t="shared" ca="1" si="27"/>
        <v>0</v>
      </c>
      <c r="S127" s="63">
        <f t="shared" si="28"/>
        <v>0</v>
      </c>
      <c r="T127" s="62">
        <f t="shared" ca="1" si="29"/>
        <v>0</v>
      </c>
      <c r="U127" s="43"/>
      <c r="V127" s="43"/>
      <c r="W127" s="43"/>
      <c r="X127" s="43"/>
      <c r="Y127" s="43"/>
      <c r="AA127" s="55" t="str">
        <f t="shared" si="30"/>
        <v/>
      </c>
      <c r="AB127" s="54" t="str">
        <f t="shared" ca="1" si="31"/>
        <v/>
      </c>
    </row>
    <row r="128" spans="1:28" x14ac:dyDescent="0.35">
      <c r="A128" s="71"/>
      <c r="B128" s="71"/>
      <c r="C128" s="112"/>
      <c r="D128" s="57"/>
      <c r="E128" s="34">
        <v>121</v>
      </c>
      <c r="F128" s="150">
        <f t="shared" si="22"/>
        <v>120</v>
      </c>
      <c r="G128" s="58">
        <f t="shared" si="35"/>
        <v>0</v>
      </c>
      <c r="H128" s="58">
        <f t="shared" si="20"/>
        <v>0</v>
      </c>
      <c r="I128" s="59">
        <f t="shared" si="21"/>
        <v>0</v>
      </c>
      <c r="J128" s="19">
        <f t="shared" si="23"/>
        <v>1</v>
      </c>
      <c r="K128" s="60">
        <f t="shared" si="32"/>
        <v>49766</v>
      </c>
      <c r="L128" s="61">
        <f t="shared" si="33"/>
        <v>0</v>
      </c>
      <c r="M128" s="133">
        <f ca="1">IF(OR(F128&gt;$C$15, F128=0),0, 1*(1/(1+$C$30)^SUM(OFFSET($L$8, IF(F128=0, 1, 0), 0):L128)))*J128</f>
        <v>0</v>
      </c>
      <c r="N128" s="121">
        <f t="shared" ca="1" si="34"/>
        <v>0</v>
      </c>
      <c r="O128" s="63">
        <f t="shared" ca="1" si="24"/>
        <v>0</v>
      </c>
      <c r="P128" s="63">
        <f t="shared" ca="1" si="25"/>
        <v>0</v>
      </c>
      <c r="Q128" s="63">
        <f t="shared" ca="1" si="26"/>
        <v>0</v>
      </c>
      <c r="R128" s="132">
        <f t="shared" ca="1" si="27"/>
        <v>0</v>
      </c>
      <c r="S128" s="63">
        <f t="shared" si="28"/>
        <v>0</v>
      </c>
      <c r="T128" s="62">
        <f t="shared" ca="1" si="29"/>
        <v>0</v>
      </c>
      <c r="U128" s="43"/>
      <c r="V128" s="43"/>
      <c r="W128" s="43"/>
      <c r="X128" s="43"/>
      <c r="Y128" s="43"/>
      <c r="AA128" s="55" t="str">
        <f t="shared" si="30"/>
        <v/>
      </c>
      <c r="AB128" s="54" t="str">
        <f t="shared" ca="1" si="31"/>
        <v/>
      </c>
    </row>
    <row r="129" spans="2:25" x14ac:dyDescent="0.35">
      <c r="B129" s="71"/>
      <c r="C129" s="112"/>
      <c r="G129" s="73"/>
      <c r="H129" s="73"/>
      <c r="I129" s="74"/>
      <c r="J129" s="74"/>
      <c r="K129" s="75"/>
      <c r="L129" s="73"/>
      <c r="M129" s="76"/>
      <c r="N129" s="40"/>
      <c r="O129" s="53"/>
      <c r="P129" s="53"/>
      <c r="Q129" s="53"/>
      <c r="R129" s="53"/>
      <c r="S129" s="53"/>
      <c r="T129" s="40"/>
      <c r="U129" s="43"/>
      <c r="V129" s="43"/>
      <c r="W129" s="43"/>
      <c r="X129" s="43"/>
      <c r="Y129" s="43"/>
    </row>
    <row r="130" spans="2:25" ht="13.5" customHeight="1" x14ac:dyDescent="0.35">
      <c r="G130" s="73"/>
      <c r="H130" s="73"/>
      <c r="I130" s="74"/>
      <c r="J130" s="74"/>
      <c r="K130" s="75"/>
      <c r="L130" s="73"/>
      <c r="M130" s="76"/>
      <c r="N130" s="40"/>
      <c r="O130" s="53"/>
      <c r="P130" s="53"/>
      <c r="Q130" s="53"/>
      <c r="R130" s="53"/>
      <c r="S130" s="53"/>
      <c r="T130" s="40"/>
      <c r="U130" s="43"/>
      <c r="V130" s="43"/>
      <c r="W130" s="43"/>
      <c r="X130" s="43"/>
      <c r="Y130" s="43"/>
    </row>
    <row r="131" spans="2:25" ht="5.15" customHeight="1" thickBot="1" x14ac:dyDescent="0.4">
      <c r="G131" s="77"/>
      <c r="H131" s="77"/>
      <c r="I131" s="78"/>
      <c r="J131" s="78"/>
      <c r="K131" s="79"/>
      <c r="L131" s="77"/>
      <c r="M131" s="80"/>
      <c r="N131" s="81"/>
      <c r="O131" s="82"/>
      <c r="P131" s="82"/>
      <c r="Q131" s="82"/>
      <c r="R131" s="82"/>
      <c r="S131" s="82"/>
      <c r="T131" s="81"/>
      <c r="U131" s="43"/>
      <c r="V131" s="43"/>
      <c r="W131" s="43"/>
      <c r="X131" s="43"/>
      <c r="Y131" s="43"/>
    </row>
    <row r="132" spans="2:25" ht="15" thickTop="1" x14ac:dyDescent="0.35">
      <c r="F132" s="83"/>
      <c r="G132" s="73"/>
      <c r="H132" s="73"/>
      <c r="I132" s="74"/>
      <c r="J132" s="74"/>
      <c r="K132" s="75"/>
      <c r="L132" s="73"/>
      <c r="M132" s="76"/>
      <c r="N132" s="40"/>
      <c r="O132" s="53"/>
      <c r="P132" s="53"/>
      <c r="Q132" s="53"/>
      <c r="R132" s="53"/>
      <c r="S132" s="53"/>
      <c r="T132" s="40"/>
      <c r="U132" s="43"/>
      <c r="V132" s="43"/>
      <c r="W132" s="43"/>
      <c r="X132" s="43"/>
      <c r="Y132" s="43"/>
    </row>
    <row r="133" spans="2:25" x14ac:dyDescent="0.35">
      <c r="F133" s="84"/>
      <c r="G133" s="73"/>
      <c r="H133" s="73"/>
      <c r="I133" s="74"/>
      <c r="J133" s="74"/>
      <c r="K133" s="75"/>
      <c r="L133" s="73"/>
      <c r="M133" s="76"/>
      <c r="N133" s="40"/>
      <c r="O133" s="53"/>
      <c r="P133" s="53"/>
      <c r="Q133" s="53"/>
      <c r="R133" s="53"/>
      <c r="S133" s="53"/>
      <c r="T133" s="40"/>
      <c r="U133" s="43"/>
      <c r="V133" s="43"/>
      <c r="W133" s="43"/>
      <c r="X133" s="43"/>
      <c r="Y133" s="43"/>
    </row>
    <row r="134" spans="2:25" ht="23.5" x14ac:dyDescent="0.35">
      <c r="K134" s="209" t="s">
        <v>119</v>
      </c>
      <c r="L134" s="209"/>
      <c r="M134" s="209"/>
      <c r="N134" s="209"/>
      <c r="O134" s="209"/>
      <c r="P134" s="209"/>
      <c r="Q134" s="209"/>
      <c r="R134" s="209"/>
      <c r="S134" s="122"/>
      <c r="T134" s="40"/>
      <c r="U134" s="43"/>
      <c r="V134" s="43"/>
      <c r="W134" s="43"/>
      <c r="X134" s="43"/>
      <c r="Y134" s="43"/>
    </row>
    <row r="135" spans="2:25" ht="18.5" x14ac:dyDescent="0.45">
      <c r="K135" s="85" t="s">
        <v>120</v>
      </c>
      <c r="L135" s="86"/>
      <c r="M135" s="87"/>
      <c r="N135" s="88"/>
      <c r="O135" s="89"/>
      <c r="P135" s="90"/>
      <c r="Q135" s="90"/>
      <c r="R135" s="91">
        <f>C8</f>
        <v>11300</v>
      </c>
      <c r="S135" s="123"/>
      <c r="T135" s="40"/>
      <c r="U135" s="43"/>
      <c r="V135" s="43"/>
      <c r="W135" s="43"/>
      <c r="X135" s="43"/>
      <c r="Y135" s="43"/>
    </row>
    <row r="136" spans="2:25" ht="18.5" x14ac:dyDescent="0.45">
      <c r="K136" s="85" t="s">
        <v>121</v>
      </c>
      <c r="L136" s="86"/>
      <c r="M136" s="87"/>
      <c r="N136" s="88"/>
      <c r="O136" s="89"/>
      <c r="P136" s="90"/>
      <c r="Q136" s="90"/>
      <c r="R136" s="92">
        <f>C11</f>
        <v>0.12</v>
      </c>
      <c r="S136" s="124"/>
      <c r="T136" s="40"/>
      <c r="U136" s="43"/>
      <c r="V136" s="43"/>
      <c r="W136" s="43"/>
      <c r="X136" s="43"/>
      <c r="Y136" s="43"/>
    </row>
    <row r="137" spans="2:25" ht="18.5" x14ac:dyDescent="0.45">
      <c r="K137" s="85" t="s">
        <v>122</v>
      </c>
      <c r="L137" s="86"/>
      <c r="M137" s="93"/>
      <c r="N137" s="88"/>
      <c r="O137" s="89"/>
      <c r="P137" s="90"/>
      <c r="Q137" s="90"/>
      <c r="R137" s="94"/>
      <c r="S137" s="125"/>
      <c r="T137" s="40"/>
      <c r="U137" s="43"/>
      <c r="V137" s="43"/>
      <c r="W137" s="43"/>
      <c r="X137" s="43"/>
      <c r="Y137" s="43"/>
    </row>
    <row r="138" spans="2:25" ht="18.5" x14ac:dyDescent="0.45">
      <c r="K138" s="85" t="s">
        <v>123</v>
      </c>
      <c r="L138" s="86"/>
      <c r="M138" s="93"/>
      <c r="N138" s="88"/>
      <c r="O138" s="89"/>
      <c r="P138" s="90"/>
      <c r="Q138" s="90"/>
      <c r="R138" s="95">
        <f>C15</f>
        <v>60</v>
      </c>
      <c r="S138" s="126"/>
      <c r="T138" s="40"/>
      <c r="U138" s="43"/>
      <c r="V138" s="43"/>
      <c r="W138" s="43"/>
      <c r="X138" s="43"/>
      <c r="Y138" s="43"/>
    </row>
    <row r="139" spans="2:25" ht="18.5" x14ac:dyDescent="0.45">
      <c r="K139" s="85" t="s">
        <v>35</v>
      </c>
      <c r="L139" s="86"/>
      <c r="M139" s="93"/>
      <c r="N139" s="88"/>
      <c r="O139" s="89"/>
      <c r="P139" s="90"/>
      <c r="Q139" s="90"/>
      <c r="R139" s="95" t="s">
        <v>36</v>
      </c>
      <c r="S139" s="126"/>
      <c r="T139" s="40"/>
      <c r="U139" s="43"/>
      <c r="V139" s="43"/>
      <c r="W139" s="43"/>
      <c r="X139" s="43"/>
      <c r="Y139" s="43"/>
    </row>
    <row r="140" spans="2:25" ht="18.5" x14ac:dyDescent="0.45">
      <c r="K140" s="85" t="s">
        <v>124</v>
      </c>
      <c r="L140" s="86"/>
      <c r="M140" s="93"/>
      <c r="N140" s="88"/>
      <c r="O140" s="89"/>
      <c r="P140" s="90"/>
      <c r="Q140" s="90"/>
      <c r="R140" s="96">
        <f>C19</f>
        <v>46143</v>
      </c>
      <c r="S140" s="127"/>
      <c r="T140" s="40"/>
      <c r="U140" s="43"/>
      <c r="V140" s="43"/>
      <c r="W140" s="43"/>
      <c r="X140" s="43"/>
      <c r="Y140" s="43"/>
    </row>
    <row r="141" spans="2:25" x14ac:dyDescent="0.35">
      <c r="F141" s="97"/>
      <c r="G141" s="98"/>
      <c r="H141" s="73"/>
      <c r="I141" s="99"/>
      <c r="J141" s="99"/>
      <c r="K141" s="100"/>
      <c r="L141" s="73"/>
      <c r="M141" s="101"/>
      <c r="N141" s="102"/>
      <c r="P141" s="53"/>
      <c r="Q141" s="53"/>
      <c r="R141" s="53"/>
      <c r="S141" s="53"/>
      <c r="T141" s="40"/>
      <c r="U141" s="43"/>
      <c r="V141" s="43"/>
      <c r="W141" s="43"/>
      <c r="X141" s="43"/>
      <c r="Y141" s="43"/>
    </row>
    <row r="142" spans="2:25" x14ac:dyDescent="0.35">
      <c r="F142" s="84"/>
      <c r="G142" s="101"/>
      <c r="H142" s="101"/>
      <c r="I142" s="101"/>
      <c r="J142" s="101"/>
      <c r="K142" s="103"/>
      <c r="L142" s="73"/>
      <c r="M142" s="101"/>
      <c r="N142" s="102"/>
      <c r="P142" s="53"/>
      <c r="Q142" s="53"/>
      <c r="R142" s="53"/>
      <c r="S142" s="53"/>
      <c r="T142" s="40"/>
      <c r="U142" s="43"/>
      <c r="V142" s="43"/>
      <c r="W142" s="43"/>
      <c r="X142" s="43"/>
      <c r="Y142" s="43"/>
    </row>
    <row r="143" spans="2:25" x14ac:dyDescent="0.35">
      <c r="F143" s="97"/>
      <c r="G143" s="98"/>
      <c r="H143" s="73"/>
      <c r="I143" s="99"/>
      <c r="J143" s="99"/>
      <c r="K143" s="100"/>
      <c r="L143" s="73"/>
      <c r="M143" s="101"/>
      <c r="N143" s="102"/>
      <c r="P143" s="53"/>
      <c r="Q143" s="53"/>
      <c r="R143" s="53"/>
      <c r="S143" s="53"/>
      <c r="T143" s="40"/>
      <c r="U143" s="43"/>
      <c r="V143" s="43"/>
      <c r="W143" s="43"/>
      <c r="X143" s="43"/>
      <c r="Y143" s="43"/>
    </row>
    <row r="144" spans="2:25" x14ac:dyDescent="0.35">
      <c r="F144" s="97"/>
      <c r="G144" s="98"/>
      <c r="H144" s="73"/>
      <c r="I144" s="99"/>
      <c r="J144" s="99"/>
      <c r="K144" s="100"/>
      <c r="L144" s="73"/>
      <c r="M144" s="101"/>
      <c r="N144" s="102"/>
      <c r="P144" s="53"/>
      <c r="Q144" s="53"/>
      <c r="R144" s="53"/>
      <c r="S144" s="53"/>
      <c r="T144" s="40"/>
      <c r="U144" s="43"/>
      <c r="V144" s="43"/>
      <c r="W144" s="43"/>
      <c r="X144" s="43"/>
      <c r="Y144" s="43"/>
    </row>
    <row r="145" spans="6:25" x14ac:dyDescent="0.35">
      <c r="F145" s="97"/>
      <c r="G145" s="98"/>
      <c r="H145" s="73"/>
      <c r="I145" s="99"/>
      <c r="J145" s="99"/>
      <c r="K145" s="100"/>
      <c r="L145" s="73"/>
      <c r="M145" s="101"/>
      <c r="N145" s="102"/>
      <c r="P145" s="53"/>
      <c r="Q145" s="53"/>
      <c r="R145" s="53"/>
      <c r="S145" s="53"/>
      <c r="T145" s="40"/>
      <c r="U145" s="43"/>
      <c r="V145" s="43"/>
      <c r="W145" s="43"/>
      <c r="X145" s="43"/>
      <c r="Y145" s="43"/>
    </row>
    <row r="146" spans="6:25" x14ac:dyDescent="0.35">
      <c r="F146" s="84"/>
      <c r="G146" s="101"/>
      <c r="H146" s="101"/>
      <c r="I146" s="101"/>
      <c r="J146" s="101"/>
      <c r="K146" s="103"/>
      <c r="L146" s="73"/>
      <c r="M146" s="101"/>
      <c r="N146" s="102"/>
      <c r="P146" s="53"/>
      <c r="Q146" s="53"/>
      <c r="R146" s="53"/>
      <c r="S146" s="53"/>
      <c r="T146" s="40"/>
      <c r="U146" s="43"/>
      <c r="V146" s="43"/>
      <c r="W146" s="43"/>
      <c r="X146" s="43"/>
      <c r="Y146" s="43"/>
    </row>
    <row r="147" spans="6:25" x14ac:dyDescent="0.35">
      <c r="F147" s="97"/>
      <c r="G147" s="98"/>
      <c r="H147" s="73"/>
      <c r="I147" s="99"/>
      <c r="J147" s="99"/>
      <c r="K147" s="100"/>
      <c r="L147" s="73"/>
      <c r="M147" s="101"/>
      <c r="N147" s="102"/>
      <c r="P147" s="53"/>
      <c r="Q147" s="53"/>
      <c r="R147" s="53"/>
      <c r="S147" s="53"/>
      <c r="T147" s="40"/>
      <c r="U147" s="43"/>
      <c r="V147" s="43"/>
      <c r="W147" s="43"/>
      <c r="X147" s="43"/>
      <c r="Y147" s="43"/>
    </row>
    <row r="148" spans="6:25" x14ac:dyDescent="0.35">
      <c r="F148" s="97"/>
      <c r="G148" s="98"/>
      <c r="H148" s="73"/>
      <c r="I148" s="99"/>
      <c r="J148" s="99"/>
      <c r="K148" s="100"/>
      <c r="L148" s="73"/>
      <c r="M148" s="101"/>
      <c r="N148" s="102"/>
      <c r="P148" s="53"/>
      <c r="Q148" s="53"/>
      <c r="R148" s="53"/>
      <c r="S148" s="53"/>
      <c r="T148" s="40"/>
      <c r="U148" s="43"/>
      <c r="V148" s="43"/>
      <c r="W148" s="43"/>
      <c r="X148" s="43"/>
      <c r="Y148" s="43"/>
    </row>
    <row r="149" spans="6:25" x14ac:dyDescent="0.35">
      <c r="F149" s="97"/>
      <c r="G149" s="98"/>
      <c r="H149" s="73"/>
      <c r="I149" s="99"/>
      <c r="J149" s="99"/>
      <c r="K149" s="100"/>
      <c r="L149" s="73"/>
      <c r="M149" s="101"/>
      <c r="N149" s="102"/>
      <c r="P149" s="53"/>
      <c r="Q149" s="53"/>
      <c r="R149" s="53"/>
      <c r="S149" s="53"/>
      <c r="T149" s="40"/>
      <c r="U149" s="43"/>
      <c r="V149" s="43"/>
      <c r="W149" s="43"/>
      <c r="X149" s="43"/>
      <c r="Y149" s="43"/>
    </row>
    <row r="150" spans="6:25" x14ac:dyDescent="0.35">
      <c r="F150" s="97"/>
      <c r="G150" s="98"/>
      <c r="H150" s="73"/>
      <c r="I150" s="99"/>
      <c r="J150" s="99"/>
      <c r="K150" s="100"/>
      <c r="L150" s="73"/>
      <c r="M150" s="101"/>
      <c r="N150" s="102"/>
      <c r="P150" s="53"/>
      <c r="Q150" s="53"/>
      <c r="R150" s="53"/>
      <c r="S150" s="53"/>
      <c r="T150" s="40"/>
      <c r="U150" s="43"/>
      <c r="V150" s="43"/>
      <c r="W150" s="43"/>
      <c r="X150" s="43"/>
      <c r="Y150" s="43"/>
    </row>
    <row r="151" spans="6:25" x14ac:dyDescent="0.35">
      <c r="F151" s="97"/>
      <c r="G151" s="98"/>
      <c r="H151" s="73"/>
      <c r="I151" s="99"/>
      <c r="J151" s="99"/>
      <c r="K151" s="100"/>
      <c r="L151" s="73"/>
      <c r="M151" s="99"/>
      <c r="N151" s="102"/>
      <c r="P151" s="53"/>
      <c r="Q151" s="53"/>
      <c r="R151" s="53"/>
      <c r="S151" s="53"/>
      <c r="T151" s="40"/>
      <c r="U151" s="43"/>
      <c r="V151" s="43"/>
      <c r="W151" s="43"/>
      <c r="X151" s="43"/>
      <c r="Y151" s="43"/>
    </row>
    <row r="152" spans="6:25" x14ac:dyDescent="0.35">
      <c r="F152" s="97"/>
      <c r="G152" s="98"/>
      <c r="H152" s="73"/>
      <c r="I152" s="99"/>
      <c r="J152" s="99"/>
      <c r="K152" s="100"/>
      <c r="L152" s="73"/>
      <c r="M152" s="99"/>
      <c r="N152" s="102"/>
      <c r="O152" s="53"/>
      <c r="P152" s="53"/>
      <c r="Q152" s="53"/>
      <c r="R152" s="53"/>
      <c r="S152" s="53"/>
      <c r="T152" s="40"/>
      <c r="U152" s="43"/>
      <c r="V152" s="43"/>
      <c r="W152" s="43"/>
      <c r="X152" s="43"/>
      <c r="Y152" s="43"/>
    </row>
    <row r="153" spans="6:25" x14ac:dyDescent="0.35">
      <c r="F153" s="97"/>
      <c r="G153" s="98"/>
      <c r="H153" s="73"/>
      <c r="I153" s="76"/>
      <c r="J153" s="76"/>
      <c r="K153" s="53"/>
      <c r="L153" s="73"/>
      <c r="M153" s="76"/>
      <c r="N153" s="40"/>
      <c r="O153" s="53"/>
      <c r="P153" s="53"/>
      <c r="Q153" s="53"/>
      <c r="R153" s="53"/>
      <c r="S153" s="53"/>
      <c r="T153" s="40"/>
      <c r="U153" s="43"/>
      <c r="V153" s="43"/>
      <c r="W153" s="43"/>
      <c r="X153" s="43"/>
      <c r="Y153" s="43"/>
    </row>
    <row r="154" spans="6:25" x14ac:dyDescent="0.35">
      <c r="F154" s="97"/>
      <c r="G154" s="98"/>
      <c r="H154" s="73"/>
      <c r="I154" s="76"/>
      <c r="J154" s="76"/>
      <c r="K154" s="53"/>
      <c r="L154" s="73"/>
      <c r="M154" s="76"/>
      <c r="N154" s="40"/>
      <c r="O154" s="53"/>
      <c r="P154" s="53"/>
      <c r="Q154" s="53"/>
      <c r="R154" s="53"/>
      <c r="S154" s="53"/>
      <c r="T154" s="40"/>
      <c r="U154" s="43"/>
      <c r="V154" s="43"/>
      <c r="W154" s="43"/>
      <c r="X154" s="43"/>
      <c r="Y154" s="43"/>
    </row>
    <row r="155" spans="6:25" x14ac:dyDescent="0.35">
      <c r="F155" s="97"/>
      <c r="G155" s="98"/>
      <c r="H155" s="73"/>
      <c r="I155" s="76"/>
      <c r="J155" s="76"/>
      <c r="K155" s="53"/>
      <c r="L155" s="73"/>
      <c r="M155" s="76"/>
      <c r="N155" s="40"/>
      <c r="O155" s="53"/>
      <c r="P155" s="53"/>
      <c r="Q155" s="53"/>
      <c r="R155" s="53"/>
      <c r="S155" s="53"/>
      <c r="T155" s="40"/>
      <c r="U155" s="43"/>
      <c r="V155" s="43"/>
      <c r="W155" s="43"/>
      <c r="X155" s="43"/>
      <c r="Y155" s="43"/>
    </row>
    <row r="156" spans="6:25" x14ac:dyDescent="0.35">
      <c r="F156" s="97"/>
      <c r="G156" s="98"/>
      <c r="H156" s="73"/>
      <c r="I156" s="76"/>
      <c r="J156" s="76"/>
      <c r="K156" s="53"/>
      <c r="L156" s="73"/>
      <c r="M156" s="76"/>
      <c r="N156" s="40"/>
      <c r="O156" s="53"/>
      <c r="P156" s="53"/>
      <c r="Q156" s="53"/>
      <c r="R156" s="53"/>
      <c r="S156" s="53"/>
      <c r="T156" s="40"/>
      <c r="U156" s="43"/>
      <c r="V156" s="43"/>
      <c r="W156" s="43"/>
      <c r="X156" s="43"/>
      <c r="Y156" s="43"/>
    </row>
    <row r="157" spans="6:25" x14ac:dyDescent="0.35">
      <c r="F157" s="97"/>
      <c r="G157" s="98"/>
      <c r="H157" s="73"/>
      <c r="I157" s="75"/>
      <c r="J157" s="75"/>
      <c r="K157" s="53"/>
      <c r="L157" s="73"/>
      <c r="M157" s="76"/>
      <c r="N157" s="40"/>
      <c r="O157" s="53"/>
      <c r="P157" s="53"/>
      <c r="Q157" s="53"/>
      <c r="R157" s="53"/>
      <c r="S157" s="53"/>
      <c r="T157" s="40"/>
      <c r="U157" s="43"/>
      <c r="V157" s="43"/>
      <c r="W157" s="43"/>
      <c r="X157" s="43"/>
      <c r="Y157" s="43"/>
    </row>
    <row r="158" spans="6:25" x14ac:dyDescent="0.35">
      <c r="G158" s="73"/>
      <c r="H158" s="73"/>
      <c r="I158" s="74"/>
      <c r="J158" s="74"/>
      <c r="K158" s="75"/>
      <c r="L158" s="73"/>
      <c r="M158" s="76"/>
      <c r="N158" s="40"/>
      <c r="O158" s="53"/>
      <c r="P158" s="53"/>
      <c r="Q158" s="53"/>
      <c r="R158" s="53"/>
      <c r="S158" s="53"/>
      <c r="T158" s="40"/>
      <c r="U158" s="43"/>
      <c r="V158" s="43"/>
      <c r="W158" s="43"/>
      <c r="X158" s="43"/>
      <c r="Y158" s="43"/>
    </row>
    <row r="159" spans="6:25" x14ac:dyDescent="0.35">
      <c r="G159" s="73"/>
      <c r="H159" s="73"/>
      <c r="I159" s="74"/>
      <c r="J159" s="74"/>
      <c r="K159" s="75"/>
      <c r="L159" s="73"/>
      <c r="M159" s="76"/>
      <c r="N159" s="40"/>
      <c r="O159" s="53"/>
      <c r="P159" s="53"/>
      <c r="Q159" s="53"/>
      <c r="R159" s="53"/>
      <c r="S159" s="53"/>
      <c r="T159" s="40"/>
      <c r="U159" s="43"/>
      <c r="V159" s="43"/>
      <c r="W159" s="43"/>
      <c r="X159" s="43"/>
      <c r="Y159" s="43"/>
    </row>
    <row r="160" spans="6:25" x14ac:dyDescent="0.35">
      <c r="G160" s="73"/>
      <c r="H160" s="73"/>
      <c r="I160" s="74"/>
      <c r="J160" s="74"/>
      <c r="K160" s="75"/>
      <c r="L160" s="73"/>
      <c r="M160" s="76"/>
      <c r="N160" s="40"/>
      <c r="O160" s="53"/>
      <c r="P160" s="53"/>
      <c r="Q160" s="53"/>
      <c r="R160" s="53"/>
      <c r="S160" s="53"/>
      <c r="T160" s="40"/>
      <c r="U160" s="43"/>
      <c r="V160" s="43"/>
      <c r="W160" s="43"/>
      <c r="X160" s="43"/>
      <c r="Y160" s="43"/>
    </row>
    <row r="161" spans="7:25" x14ac:dyDescent="0.35">
      <c r="G161" s="73"/>
      <c r="H161" s="73"/>
      <c r="I161" s="74"/>
      <c r="J161" s="74"/>
      <c r="K161" s="75"/>
      <c r="L161" s="73"/>
      <c r="M161" s="76"/>
      <c r="N161" s="40"/>
      <c r="O161" s="53"/>
      <c r="P161" s="53"/>
      <c r="Q161" s="53"/>
      <c r="R161" s="53"/>
      <c r="S161" s="53"/>
      <c r="T161" s="40"/>
      <c r="U161" s="43"/>
      <c r="V161" s="43"/>
      <c r="W161" s="43"/>
      <c r="X161" s="43"/>
      <c r="Y161" s="43"/>
    </row>
    <row r="162" spans="7:25" x14ac:dyDescent="0.35">
      <c r="G162" s="73"/>
      <c r="H162" s="73"/>
      <c r="I162" s="74"/>
      <c r="J162" s="74"/>
      <c r="K162" s="75"/>
      <c r="L162" s="73"/>
      <c r="M162" s="76"/>
      <c r="N162" s="40"/>
      <c r="O162" s="53"/>
      <c r="P162" s="53"/>
      <c r="Q162" s="53"/>
      <c r="R162" s="53"/>
      <c r="S162" s="53"/>
      <c r="T162" s="40"/>
      <c r="U162" s="43"/>
      <c r="V162" s="43"/>
      <c r="W162" s="43"/>
      <c r="X162" s="43"/>
      <c r="Y162" s="43"/>
    </row>
    <row r="163" spans="7:25" x14ac:dyDescent="0.35">
      <c r="G163" s="73"/>
      <c r="H163" s="73"/>
      <c r="I163" s="74"/>
      <c r="J163" s="74"/>
      <c r="K163" s="75"/>
      <c r="L163" s="73"/>
      <c r="M163" s="76"/>
      <c r="N163" s="40"/>
      <c r="O163" s="53"/>
      <c r="P163" s="53"/>
      <c r="Q163" s="53"/>
      <c r="R163" s="53"/>
      <c r="S163" s="53"/>
      <c r="T163" s="40"/>
      <c r="U163" s="43"/>
      <c r="V163" s="43"/>
      <c r="W163" s="43"/>
      <c r="X163" s="43"/>
      <c r="Y163" s="43"/>
    </row>
    <row r="164" spans="7:25" x14ac:dyDescent="0.35">
      <c r="G164" s="73"/>
      <c r="H164" s="73"/>
      <c r="I164" s="74"/>
      <c r="J164" s="74"/>
      <c r="K164" s="75"/>
      <c r="L164" s="73"/>
      <c r="M164" s="76"/>
      <c r="N164" s="40"/>
      <c r="O164" s="53"/>
      <c r="P164" s="53"/>
      <c r="Q164" s="53"/>
      <c r="R164" s="53"/>
      <c r="S164" s="53"/>
      <c r="T164" s="40"/>
      <c r="U164" s="43"/>
      <c r="V164" s="43"/>
      <c r="W164" s="43"/>
      <c r="X164" s="43"/>
      <c r="Y164" s="43"/>
    </row>
    <row r="165" spans="7:25" x14ac:dyDescent="0.35">
      <c r="G165" s="73"/>
      <c r="H165" s="73"/>
      <c r="I165" s="74"/>
      <c r="J165" s="74"/>
      <c r="K165" s="75"/>
      <c r="L165" s="73"/>
      <c r="M165" s="76"/>
      <c r="N165" s="40"/>
      <c r="O165" s="53"/>
      <c r="P165" s="53"/>
      <c r="Q165" s="53"/>
      <c r="R165" s="53"/>
      <c r="S165" s="53"/>
      <c r="T165" s="40"/>
      <c r="U165" s="43"/>
      <c r="V165" s="43"/>
      <c r="W165" s="43"/>
      <c r="X165" s="43"/>
      <c r="Y165" s="43"/>
    </row>
    <row r="166" spans="7:25" x14ac:dyDescent="0.35">
      <c r="G166" s="73"/>
      <c r="H166" s="73"/>
      <c r="I166" s="74"/>
      <c r="J166" s="74"/>
      <c r="K166" s="75"/>
      <c r="L166" s="73"/>
      <c r="M166" s="76"/>
      <c r="N166" s="40"/>
      <c r="O166" s="53"/>
      <c r="P166" s="53"/>
      <c r="Q166" s="53"/>
      <c r="R166" s="53"/>
      <c r="S166" s="53"/>
      <c r="T166" s="40"/>
      <c r="U166" s="43"/>
      <c r="V166" s="43"/>
      <c r="W166" s="43"/>
      <c r="X166" s="43"/>
      <c r="Y166" s="43"/>
    </row>
    <row r="167" spans="7:25" x14ac:dyDescent="0.35">
      <c r="G167" s="73"/>
      <c r="H167" s="73"/>
      <c r="I167" s="74"/>
      <c r="J167" s="74"/>
      <c r="K167" s="75"/>
      <c r="L167" s="73"/>
      <c r="M167" s="76"/>
      <c r="N167" s="40"/>
      <c r="O167" s="53"/>
      <c r="P167" s="53"/>
      <c r="Q167" s="53"/>
      <c r="R167" s="53"/>
      <c r="S167" s="53"/>
      <c r="T167" s="40"/>
      <c r="U167" s="43"/>
      <c r="V167" s="43"/>
      <c r="W167" s="43"/>
      <c r="X167" s="43"/>
      <c r="Y167" s="43"/>
    </row>
    <row r="168" spans="7:25" x14ac:dyDescent="0.35">
      <c r="G168" s="73"/>
      <c r="H168" s="73"/>
      <c r="I168" s="74"/>
      <c r="J168" s="74"/>
      <c r="K168" s="75"/>
      <c r="L168" s="73"/>
      <c r="M168" s="76"/>
      <c r="N168" s="40"/>
      <c r="O168" s="53"/>
      <c r="P168" s="53"/>
      <c r="Q168" s="53"/>
      <c r="R168" s="53"/>
      <c r="S168" s="53"/>
      <c r="T168" s="40"/>
      <c r="U168" s="43"/>
      <c r="V168" s="43"/>
      <c r="W168" s="43"/>
      <c r="X168" s="43"/>
      <c r="Y168" s="43"/>
    </row>
    <row r="169" spans="7:25" x14ac:dyDescent="0.35">
      <c r="G169" s="73"/>
      <c r="H169" s="73"/>
      <c r="I169" s="74"/>
      <c r="J169" s="74"/>
      <c r="K169" s="75"/>
      <c r="L169" s="73"/>
      <c r="M169" s="76"/>
      <c r="N169" s="40"/>
      <c r="O169" s="53"/>
      <c r="P169" s="53"/>
      <c r="Q169" s="53"/>
      <c r="R169" s="53"/>
      <c r="S169" s="53"/>
      <c r="T169" s="40"/>
      <c r="U169" s="43"/>
      <c r="V169" s="43"/>
      <c r="W169" s="43"/>
      <c r="X169" s="43"/>
      <c r="Y169" s="43"/>
    </row>
    <row r="170" spans="7:25" x14ac:dyDescent="0.35">
      <c r="G170" s="73"/>
      <c r="H170" s="73"/>
      <c r="I170" s="74"/>
      <c r="J170" s="74"/>
      <c r="K170" s="75"/>
      <c r="L170" s="73"/>
      <c r="M170" s="76"/>
      <c r="N170" s="40"/>
      <c r="O170" s="53"/>
      <c r="P170" s="53"/>
      <c r="Q170" s="53"/>
      <c r="R170" s="53"/>
      <c r="S170" s="53"/>
      <c r="T170" s="40"/>
      <c r="U170" s="43"/>
      <c r="V170" s="43"/>
      <c r="W170" s="43"/>
      <c r="X170" s="43"/>
      <c r="Y170" s="43"/>
    </row>
    <row r="171" spans="7:25" x14ac:dyDescent="0.35">
      <c r="G171" s="73"/>
      <c r="H171" s="73"/>
      <c r="I171" s="74"/>
      <c r="J171" s="74"/>
      <c r="K171" s="75"/>
      <c r="L171" s="73"/>
      <c r="M171" s="76"/>
      <c r="N171" s="40"/>
      <c r="O171" s="53"/>
      <c r="P171" s="53"/>
      <c r="Q171" s="53"/>
      <c r="R171" s="53"/>
      <c r="S171" s="53"/>
      <c r="T171" s="40"/>
      <c r="U171" s="43"/>
      <c r="V171" s="43"/>
      <c r="W171" s="43"/>
      <c r="X171" s="43"/>
      <c r="Y171" s="43"/>
    </row>
    <row r="172" spans="7:25" x14ac:dyDescent="0.35">
      <c r="G172" s="73"/>
      <c r="H172" s="73"/>
      <c r="I172" s="74"/>
      <c r="J172" s="74"/>
      <c r="K172" s="75"/>
      <c r="L172" s="73"/>
      <c r="M172" s="76"/>
      <c r="N172" s="40"/>
      <c r="O172" s="53"/>
      <c r="P172" s="53"/>
      <c r="Q172" s="53"/>
      <c r="R172" s="53"/>
      <c r="S172" s="53"/>
      <c r="T172" s="40"/>
      <c r="U172" s="43"/>
      <c r="V172" s="43"/>
      <c r="W172" s="43"/>
      <c r="X172" s="43"/>
      <c r="Y172" s="43"/>
    </row>
    <row r="173" spans="7:25" x14ac:dyDescent="0.35">
      <c r="G173" s="73"/>
      <c r="H173" s="73"/>
      <c r="I173" s="74"/>
      <c r="J173" s="74"/>
      <c r="K173" s="75"/>
      <c r="L173" s="73"/>
      <c r="M173" s="76"/>
      <c r="N173" s="40"/>
      <c r="O173" s="53"/>
      <c r="P173" s="53"/>
      <c r="Q173" s="53"/>
      <c r="R173" s="53"/>
      <c r="S173" s="53"/>
      <c r="T173" s="40"/>
      <c r="U173" s="43"/>
      <c r="V173" s="43"/>
      <c r="W173" s="43"/>
      <c r="X173" s="43"/>
      <c r="Y173" s="43"/>
    </row>
    <row r="174" spans="7:25" x14ac:dyDescent="0.35">
      <c r="G174" s="73"/>
      <c r="H174" s="73"/>
      <c r="I174" s="74"/>
      <c r="J174" s="74"/>
      <c r="K174" s="75"/>
      <c r="L174" s="73"/>
      <c r="M174" s="76"/>
      <c r="N174" s="40"/>
      <c r="O174" s="53"/>
      <c r="P174" s="53"/>
      <c r="Q174" s="53"/>
      <c r="R174" s="53"/>
      <c r="S174" s="53"/>
      <c r="T174" s="40"/>
      <c r="U174" s="43"/>
      <c r="V174" s="43"/>
      <c r="W174" s="43"/>
      <c r="X174" s="43"/>
      <c r="Y174" s="43"/>
    </row>
    <row r="175" spans="7:25" x14ac:dyDescent="0.35">
      <c r="G175" s="73"/>
      <c r="H175" s="73"/>
      <c r="I175" s="74"/>
      <c r="J175" s="74"/>
      <c r="K175" s="75"/>
      <c r="L175" s="73"/>
      <c r="M175" s="76"/>
      <c r="N175" s="40"/>
      <c r="O175" s="53"/>
      <c r="P175" s="53"/>
      <c r="Q175" s="53"/>
      <c r="R175" s="53"/>
      <c r="S175" s="53"/>
      <c r="T175" s="40"/>
      <c r="U175" s="43"/>
      <c r="V175" s="43"/>
      <c r="W175" s="43"/>
      <c r="X175" s="43"/>
      <c r="Y175" s="43"/>
    </row>
    <row r="176" spans="7:25" x14ac:dyDescent="0.35">
      <c r="G176" s="73"/>
      <c r="H176" s="73"/>
      <c r="I176" s="74"/>
      <c r="J176" s="74"/>
      <c r="K176" s="75"/>
      <c r="L176" s="73"/>
      <c r="M176" s="76"/>
      <c r="N176" s="40"/>
      <c r="O176" s="53"/>
      <c r="P176" s="53"/>
      <c r="Q176" s="53"/>
      <c r="R176" s="53"/>
      <c r="S176" s="53"/>
      <c r="T176" s="40"/>
      <c r="U176" s="43"/>
      <c r="V176" s="43"/>
      <c r="W176" s="43"/>
      <c r="X176" s="43"/>
      <c r="Y176" s="43"/>
    </row>
    <row r="177" spans="7:25" x14ac:dyDescent="0.35">
      <c r="G177" s="73"/>
      <c r="H177" s="73"/>
      <c r="I177" s="74"/>
      <c r="J177" s="74"/>
      <c r="K177" s="75"/>
      <c r="L177" s="73"/>
      <c r="M177" s="76"/>
      <c r="N177" s="40"/>
      <c r="O177" s="53"/>
      <c r="P177" s="53"/>
      <c r="Q177" s="53"/>
      <c r="R177" s="53"/>
      <c r="S177" s="53"/>
      <c r="T177" s="40"/>
      <c r="U177" s="43"/>
      <c r="V177" s="43"/>
      <c r="W177" s="43"/>
      <c r="X177" s="43"/>
      <c r="Y177" s="43"/>
    </row>
    <row r="178" spans="7:25" x14ac:dyDescent="0.35">
      <c r="G178" s="73"/>
      <c r="H178" s="73"/>
      <c r="I178" s="74"/>
      <c r="J178" s="74"/>
      <c r="K178" s="75"/>
      <c r="L178" s="73"/>
      <c r="M178" s="76"/>
      <c r="N178" s="40"/>
      <c r="O178" s="53"/>
      <c r="P178" s="53"/>
      <c r="Q178" s="53"/>
      <c r="R178" s="53"/>
      <c r="S178" s="53"/>
      <c r="T178" s="40"/>
      <c r="U178" s="43"/>
      <c r="V178" s="43"/>
      <c r="W178" s="43"/>
      <c r="X178" s="43"/>
      <c r="Y178" s="43"/>
    </row>
    <row r="179" spans="7:25" x14ac:dyDescent="0.35">
      <c r="G179" s="73"/>
      <c r="H179" s="73"/>
      <c r="I179" s="74"/>
      <c r="J179" s="74"/>
      <c r="K179" s="75"/>
      <c r="L179" s="73"/>
      <c r="M179" s="76"/>
      <c r="N179" s="40"/>
      <c r="O179" s="53"/>
      <c r="P179" s="53"/>
      <c r="Q179" s="53"/>
      <c r="R179" s="53"/>
      <c r="S179" s="53"/>
      <c r="T179" s="40"/>
      <c r="U179" s="43"/>
      <c r="V179" s="43"/>
      <c r="W179" s="43"/>
      <c r="X179" s="43"/>
      <c r="Y179" s="43"/>
    </row>
    <row r="180" spans="7:25" x14ac:dyDescent="0.35">
      <c r="G180" s="73"/>
      <c r="H180" s="73"/>
      <c r="I180" s="74"/>
      <c r="J180" s="74"/>
      <c r="K180" s="75"/>
      <c r="L180" s="73"/>
      <c r="M180" s="76"/>
      <c r="N180" s="40"/>
      <c r="O180" s="53"/>
      <c r="P180" s="53"/>
      <c r="Q180" s="53"/>
      <c r="R180" s="53"/>
      <c r="S180" s="53"/>
      <c r="T180" s="40"/>
      <c r="U180" s="43"/>
      <c r="V180" s="43"/>
      <c r="W180" s="43"/>
      <c r="X180" s="43"/>
      <c r="Y180" s="43"/>
    </row>
    <row r="181" spans="7:25" x14ac:dyDescent="0.35">
      <c r="G181" s="73"/>
      <c r="H181" s="73"/>
      <c r="I181" s="74"/>
      <c r="J181" s="74"/>
      <c r="K181" s="75"/>
      <c r="L181" s="73"/>
      <c r="M181" s="76"/>
      <c r="N181" s="40"/>
      <c r="O181" s="53"/>
      <c r="P181" s="53"/>
      <c r="Q181" s="53"/>
      <c r="R181" s="53"/>
      <c r="S181" s="53"/>
      <c r="T181" s="40"/>
      <c r="U181" s="43"/>
      <c r="V181" s="43"/>
      <c r="W181" s="43"/>
      <c r="X181" s="43"/>
      <c r="Y181" s="43"/>
    </row>
    <row r="182" spans="7:25" x14ac:dyDescent="0.35">
      <c r="G182" s="73"/>
      <c r="H182" s="73"/>
      <c r="I182" s="74"/>
      <c r="J182" s="74"/>
      <c r="K182" s="75"/>
      <c r="L182" s="73"/>
      <c r="M182" s="76"/>
      <c r="N182" s="40"/>
      <c r="O182" s="53"/>
      <c r="P182" s="53"/>
      <c r="Q182" s="53"/>
      <c r="R182" s="53"/>
      <c r="S182" s="53"/>
      <c r="T182" s="40"/>
      <c r="U182" s="43"/>
      <c r="V182" s="43"/>
      <c r="W182" s="43"/>
      <c r="X182" s="43"/>
      <c r="Y182" s="43"/>
    </row>
    <row r="183" spans="7:25" x14ac:dyDescent="0.35">
      <c r="G183" s="73"/>
      <c r="H183" s="73"/>
      <c r="I183" s="74"/>
      <c r="J183" s="74"/>
      <c r="K183" s="75"/>
      <c r="L183" s="73"/>
      <c r="M183" s="76"/>
      <c r="N183" s="40"/>
      <c r="O183" s="53"/>
      <c r="P183" s="53"/>
      <c r="Q183" s="53"/>
      <c r="R183" s="53"/>
      <c r="S183" s="53"/>
      <c r="T183" s="40"/>
      <c r="U183" s="43"/>
      <c r="V183" s="43"/>
      <c r="W183" s="43"/>
      <c r="X183" s="43"/>
      <c r="Y183" s="43"/>
    </row>
    <row r="184" spans="7:25" x14ac:dyDescent="0.35">
      <c r="G184" s="73"/>
      <c r="H184" s="73"/>
      <c r="I184" s="74"/>
      <c r="J184" s="74"/>
      <c r="K184" s="75"/>
      <c r="L184" s="73"/>
      <c r="M184" s="76"/>
      <c r="N184" s="40"/>
      <c r="O184" s="53"/>
      <c r="P184" s="53"/>
      <c r="Q184" s="53"/>
      <c r="R184" s="53"/>
      <c r="S184" s="53"/>
      <c r="T184" s="40"/>
      <c r="U184" s="43"/>
      <c r="V184" s="43"/>
      <c r="W184" s="43"/>
      <c r="X184" s="43"/>
      <c r="Y184" s="43"/>
    </row>
    <row r="185" spans="7:25" x14ac:dyDescent="0.35">
      <c r="G185" s="73"/>
      <c r="H185" s="73"/>
      <c r="I185" s="74"/>
      <c r="J185" s="74"/>
      <c r="K185" s="75"/>
      <c r="L185" s="73"/>
      <c r="M185" s="76"/>
      <c r="N185" s="40"/>
      <c r="O185" s="53"/>
      <c r="P185" s="53"/>
      <c r="Q185" s="53"/>
      <c r="R185" s="53"/>
      <c r="S185" s="53"/>
      <c r="T185" s="40"/>
      <c r="U185" s="43"/>
      <c r="V185" s="43"/>
      <c r="W185" s="43"/>
      <c r="X185" s="43"/>
      <c r="Y185" s="43"/>
    </row>
    <row r="186" spans="7:25" x14ac:dyDescent="0.35">
      <c r="G186" s="73"/>
      <c r="H186" s="73"/>
      <c r="I186" s="74"/>
      <c r="J186" s="74"/>
      <c r="K186" s="75"/>
      <c r="L186" s="73"/>
      <c r="M186" s="76"/>
      <c r="N186" s="40"/>
      <c r="O186" s="53"/>
      <c r="P186" s="53"/>
      <c r="Q186" s="53"/>
      <c r="R186" s="53"/>
      <c r="S186" s="53"/>
      <c r="T186" s="40"/>
      <c r="U186" s="43"/>
      <c r="V186" s="43"/>
      <c r="W186" s="43"/>
      <c r="X186" s="43"/>
      <c r="Y186" s="43"/>
    </row>
    <row r="187" spans="7:25" x14ac:dyDescent="0.35">
      <c r="G187" s="73"/>
      <c r="H187" s="73"/>
      <c r="I187" s="74"/>
      <c r="J187" s="74"/>
      <c r="K187" s="75"/>
      <c r="L187" s="73"/>
      <c r="M187" s="76"/>
      <c r="N187" s="40"/>
      <c r="O187" s="53"/>
      <c r="P187" s="53"/>
      <c r="Q187" s="53"/>
      <c r="R187" s="53"/>
      <c r="S187" s="53"/>
      <c r="T187" s="40"/>
      <c r="U187" s="43"/>
      <c r="V187" s="43"/>
      <c r="W187" s="43"/>
      <c r="X187" s="43"/>
      <c r="Y187" s="43"/>
    </row>
    <row r="188" spans="7:25" x14ac:dyDescent="0.35">
      <c r="G188" s="73"/>
      <c r="H188" s="73"/>
      <c r="I188" s="74"/>
      <c r="J188" s="74"/>
      <c r="K188" s="75"/>
      <c r="L188" s="73"/>
      <c r="M188" s="76"/>
      <c r="N188" s="40"/>
      <c r="O188" s="53"/>
      <c r="P188" s="53"/>
      <c r="Q188" s="53"/>
      <c r="R188" s="53"/>
      <c r="S188" s="53"/>
      <c r="T188" s="40"/>
      <c r="U188" s="43"/>
      <c r="V188" s="43"/>
      <c r="W188" s="43"/>
      <c r="X188" s="43"/>
      <c r="Y188" s="43"/>
    </row>
    <row r="189" spans="7:25" x14ac:dyDescent="0.35">
      <c r="G189" s="73"/>
      <c r="H189" s="73"/>
      <c r="I189" s="74"/>
      <c r="J189" s="74"/>
      <c r="K189" s="75"/>
      <c r="L189" s="73"/>
      <c r="M189" s="76"/>
      <c r="N189" s="40"/>
      <c r="O189" s="53"/>
      <c r="P189" s="53"/>
      <c r="Q189" s="53"/>
      <c r="R189" s="53"/>
      <c r="S189" s="53"/>
      <c r="T189" s="40"/>
      <c r="U189" s="43"/>
      <c r="V189" s="43"/>
      <c r="W189" s="43"/>
      <c r="X189" s="43"/>
      <c r="Y189" s="43"/>
    </row>
    <row r="190" spans="7:25" x14ac:dyDescent="0.35">
      <c r="G190" s="73"/>
      <c r="H190" s="73"/>
      <c r="I190" s="74"/>
      <c r="J190" s="74"/>
      <c r="K190" s="75"/>
      <c r="L190" s="73"/>
      <c r="M190" s="76"/>
      <c r="N190" s="40"/>
      <c r="O190" s="53"/>
      <c r="P190" s="53"/>
      <c r="Q190" s="53"/>
      <c r="R190" s="53"/>
      <c r="S190" s="53"/>
      <c r="T190" s="40"/>
      <c r="U190" s="43"/>
      <c r="V190" s="43"/>
      <c r="W190" s="43"/>
      <c r="X190" s="43"/>
      <c r="Y190" s="43"/>
    </row>
    <row r="191" spans="7:25" x14ac:dyDescent="0.35">
      <c r="G191" s="73"/>
      <c r="H191" s="73"/>
      <c r="I191" s="74"/>
      <c r="J191" s="74"/>
      <c r="K191" s="75"/>
      <c r="L191" s="73"/>
      <c r="M191" s="76"/>
      <c r="N191" s="40"/>
      <c r="O191" s="53"/>
      <c r="P191" s="53"/>
      <c r="Q191" s="53"/>
      <c r="R191" s="53"/>
      <c r="S191" s="53"/>
      <c r="T191" s="40"/>
      <c r="U191" s="43"/>
      <c r="V191" s="43"/>
      <c r="W191" s="43"/>
      <c r="X191" s="43"/>
      <c r="Y191" s="43"/>
    </row>
    <row r="192" spans="7:25" x14ac:dyDescent="0.35">
      <c r="G192" s="73"/>
      <c r="H192" s="73"/>
      <c r="I192" s="74"/>
      <c r="J192" s="74"/>
      <c r="K192" s="75"/>
      <c r="L192" s="73"/>
      <c r="M192" s="76"/>
      <c r="N192" s="40"/>
      <c r="O192" s="53"/>
      <c r="P192" s="53"/>
      <c r="Q192" s="53"/>
      <c r="R192" s="53"/>
      <c r="S192" s="53"/>
      <c r="T192" s="40"/>
      <c r="U192" s="43"/>
      <c r="V192" s="43"/>
      <c r="W192" s="43"/>
      <c r="X192" s="43"/>
      <c r="Y192" s="43"/>
    </row>
    <row r="193" spans="7:25" x14ac:dyDescent="0.35">
      <c r="G193" s="73"/>
      <c r="H193" s="73"/>
      <c r="I193" s="74"/>
      <c r="J193" s="74"/>
      <c r="K193" s="75"/>
      <c r="L193" s="73"/>
      <c r="M193" s="76"/>
      <c r="N193" s="40"/>
      <c r="O193" s="53"/>
      <c r="P193" s="53"/>
      <c r="Q193" s="53"/>
      <c r="R193" s="53"/>
      <c r="S193" s="53"/>
      <c r="T193" s="40"/>
      <c r="U193" s="43"/>
      <c r="V193" s="43"/>
      <c r="W193" s="43"/>
      <c r="X193" s="43"/>
      <c r="Y193" s="43"/>
    </row>
    <row r="194" spans="7:25" x14ac:dyDescent="0.35">
      <c r="G194" s="73"/>
      <c r="H194" s="73"/>
      <c r="I194" s="74"/>
      <c r="J194" s="74"/>
      <c r="K194" s="75"/>
      <c r="L194" s="73"/>
      <c r="M194" s="76"/>
      <c r="N194" s="40"/>
      <c r="O194" s="53"/>
      <c r="P194" s="53"/>
      <c r="Q194" s="53"/>
      <c r="R194" s="53"/>
      <c r="S194" s="53"/>
      <c r="T194" s="40"/>
      <c r="U194" s="43"/>
      <c r="V194" s="43"/>
      <c r="W194" s="43"/>
      <c r="X194" s="43"/>
      <c r="Y194" s="43"/>
    </row>
    <row r="195" spans="7:25" x14ac:dyDescent="0.35">
      <c r="G195" s="73"/>
      <c r="H195" s="73"/>
      <c r="I195" s="74"/>
      <c r="J195" s="74"/>
      <c r="K195" s="75"/>
      <c r="L195" s="73"/>
      <c r="M195" s="76"/>
      <c r="N195" s="40"/>
      <c r="O195" s="53"/>
      <c r="P195" s="53"/>
      <c r="Q195" s="53"/>
      <c r="R195" s="53"/>
      <c r="S195" s="53"/>
      <c r="T195" s="40"/>
      <c r="U195" s="43"/>
      <c r="V195" s="43"/>
      <c r="W195" s="43"/>
      <c r="X195" s="43"/>
      <c r="Y195" s="43"/>
    </row>
    <row r="196" spans="7:25" x14ac:dyDescent="0.35">
      <c r="G196" s="73"/>
      <c r="H196" s="73"/>
      <c r="I196" s="74"/>
      <c r="J196" s="74"/>
      <c r="K196" s="75"/>
      <c r="L196" s="73"/>
      <c r="M196" s="76"/>
      <c r="N196" s="40"/>
      <c r="O196" s="53"/>
      <c r="P196" s="53"/>
      <c r="Q196" s="53"/>
      <c r="R196" s="53"/>
      <c r="S196" s="53"/>
      <c r="T196" s="40"/>
      <c r="U196" s="43"/>
      <c r="V196" s="43"/>
      <c r="W196" s="43"/>
      <c r="X196" s="43"/>
      <c r="Y196" s="43"/>
    </row>
    <row r="197" spans="7:25" x14ac:dyDescent="0.35">
      <c r="G197" s="73"/>
      <c r="H197" s="73"/>
      <c r="I197" s="74"/>
      <c r="J197" s="74"/>
      <c r="K197" s="75"/>
      <c r="L197" s="73"/>
      <c r="M197" s="76"/>
      <c r="N197" s="40"/>
      <c r="O197" s="53"/>
      <c r="P197" s="53"/>
      <c r="Q197" s="53"/>
      <c r="R197" s="53"/>
      <c r="S197" s="53"/>
      <c r="T197" s="40"/>
      <c r="U197" s="43"/>
      <c r="V197" s="43"/>
      <c r="W197" s="43"/>
      <c r="X197" s="43"/>
      <c r="Y197" s="43"/>
    </row>
    <row r="198" spans="7:25" x14ac:dyDescent="0.35">
      <c r="G198" s="73"/>
      <c r="H198" s="73"/>
      <c r="I198" s="74"/>
      <c r="J198" s="74"/>
      <c r="K198" s="75"/>
      <c r="L198" s="73"/>
      <c r="M198" s="76"/>
      <c r="N198" s="40"/>
      <c r="O198" s="53"/>
      <c r="P198" s="53"/>
      <c r="Q198" s="53"/>
      <c r="R198" s="53"/>
      <c r="S198" s="53"/>
      <c r="T198" s="40"/>
      <c r="U198" s="43"/>
      <c r="V198" s="43"/>
      <c r="W198" s="43"/>
      <c r="X198" s="43"/>
      <c r="Y198" s="43"/>
    </row>
    <row r="199" spans="7:25" x14ac:dyDescent="0.35">
      <c r="G199" s="73"/>
      <c r="H199" s="73"/>
      <c r="I199" s="74"/>
      <c r="J199" s="74"/>
      <c r="K199" s="75"/>
      <c r="L199" s="73"/>
      <c r="M199" s="76"/>
      <c r="N199" s="40"/>
      <c r="O199" s="53"/>
      <c r="P199" s="53"/>
      <c r="Q199" s="53"/>
      <c r="R199" s="53"/>
      <c r="S199" s="53"/>
      <c r="T199" s="40"/>
      <c r="U199" s="43"/>
      <c r="V199" s="43"/>
      <c r="W199" s="43"/>
      <c r="X199" s="43"/>
      <c r="Y199" s="43"/>
    </row>
    <row r="200" spans="7:25" x14ac:dyDescent="0.35">
      <c r="G200" s="73"/>
      <c r="H200" s="73"/>
      <c r="I200" s="74"/>
      <c r="J200" s="74"/>
      <c r="K200" s="75"/>
      <c r="L200" s="73"/>
      <c r="M200" s="76"/>
      <c r="N200" s="40"/>
      <c r="O200" s="53"/>
      <c r="P200" s="53"/>
      <c r="Q200" s="53"/>
      <c r="R200" s="53"/>
      <c r="S200" s="53"/>
      <c r="T200" s="40"/>
      <c r="U200" s="43"/>
      <c r="V200" s="43"/>
      <c r="W200" s="43"/>
      <c r="X200" s="43"/>
      <c r="Y200" s="43"/>
    </row>
    <row r="201" spans="7:25" x14ac:dyDescent="0.35">
      <c r="G201" s="73"/>
      <c r="H201" s="73"/>
      <c r="I201" s="74"/>
      <c r="J201" s="74"/>
      <c r="K201" s="75"/>
      <c r="L201" s="73"/>
      <c r="M201" s="76"/>
      <c r="N201" s="40"/>
      <c r="O201" s="53"/>
      <c r="P201" s="53"/>
      <c r="Q201" s="53"/>
      <c r="R201" s="53"/>
      <c r="S201" s="53"/>
      <c r="T201" s="40"/>
      <c r="U201" s="43"/>
      <c r="V201" s="43"/>
      <c r="W201" s="43"/>
      <c r="X201" s="43"/>
      <c r="Y201" s="43"/>
    </row>
    <row r="202" spans="7:25" x14ac:dyDescent="0.35">
      <c r="G202" s="73"/>
      <c r="H202" s="73"/>
      <c r="I202" s="74"/>
      <c r="J202" s="74"/>
      <c r="K202" s="75"/>
      <c r="L202" s="73"/>
      <c r="M202" s="76"/>
      <c r="N202" s="40"/>
      <c r="O202" s="53"/>
      <c r="P202" s="53"/>
      <c r="Q202" s="53"/>
      <c r="R202" s="53"/>
      <c r="S202" s="53"/>
      <c r="T202" s="40"/>
      <c r="U202" s="43"/>
      <c r="V202" s="43"/>
      <c r="W202" s="43"/>
      <c r="X202" s="43"/>
      <c r="Y202" s="43"/>
    </row>
    <row r="203" spans="7:25" x14ac:dyDescent="0.35">
      <c r="G203" s="73"/>
      <c r="H203" s="73"/>
      <c r="I203" s="74"/>
      <c r="J203" s="74"/>
      <c r="K203" s="75"/>
      <c r="L203" s="73"/>
      <c r="M203" s="76"/>
      <c r="N203" s="40"/>
      <c r="O203" s="53"/>
      <c r="P203" s="53"/>
      <c r="Q203" s="53"/>
      <c r="R203" s="53"/>
      <c r="S203" s="53"/>
      <c r="T203" s="40"/>
      <c r="U203" s="43"/>
      <c r="V203" s="43"/>
      <c r="W203" s="43"/>
      <c r="X203" s="43"/>
      <c r="Y203" s="43"/>
    </row>
    <row r="204" spans="7:25" x14ac:dyDescent="0.35">
      <c r="G204" s="73"/>
      <c r="H204" s="73"/>
      <c r="I204" s="74"/>
      <c r="J204" s="74"/>
      <c r="K204" s="75"/>
      <c r="L204" s="73"/>
      <c r="M204" s="76"/>
      <c r="N204" s="40"/>
      <c r="O204" s="53"/>
      <c r="P204" s="53"/>
      <c r="Q204" s="53"/>
      <c r="R204" s="53"/>
      <c r="S204" s="53"/>
      <c r="T204" s="40"/>
      <c r="U204" s="43"/>
      <c r="V204" s="43"/>
      <c r="W204" s="43"/>
      <c r="X204" s="43"/>
      <c r="Y204" s="43"/>
    </row>
    <row r="205" spans="7:25" x14ac:dyDescent="0.35">
      <c r="G205" s="73"/>
      <c r="H205" s="40"/>
      <c r="I205" s="40"/>
      <c r="J205" s="40"/>
      <c r="K205" s="41"/>
      <c r="L205" s="40"/>
      <c r="M205" s="40"/>
      <c r="N205" s="40"/>
      <c r="O205" s="40"/>
      <c r="P205" s="40"/>
      <c r="Q205" s="40"/>
      <c r="R205" s="40"/>
      <c r="S205" s="40"/>
      <c r="T205" s="40"/>
      <c r="U205" s="43"/>
      <c r="V205" s="43"/>
      <c r="W205" s="43"/>
      <c r="X205" s="43"/>
      <c r="Y205" s="43"/>
    </row>
    <row r="206" spans="7:25" x14ac:dyDescent="0.35">
      <c r="G206" s="73"/>
      <c r="H206" s="40"/>
      <c r="I206" s="40"/>
      <c r="J206" s="40"/>
      <c r="K206" s="41"/>
      <c r="L206" s="40"/>
      <c r="M206" s="40"/>
      <c r="N206" s="40"/>
      <c r="O206" s="40"/>
      <c r="P206" s="40"/>
      <c r="Q206" s="40"/>
      <c r="R206" s="40"/>
      <c r="S206" s="40"/>
      <c r="T206" s="40"/>
      <c r="U206" s="43"/>
      <c r="V206" s="43"/>
      <c r="W206" s="43"/>
      <c r="X206" s="43"/>
      <c r="Y206" s="43"/>
    </row>
    <row r="207" spans="7:25" x14ac:dyDescent="0.35">
      <c r="G207" s="73"/>
      <c r="H207" s="40"/>
      <c r="I207" s="40"/>
      <c r="J207" s="40"/>
      <c r="K207" s="41"/>
      <c r="L207" s="40"/>
      <c r="M207" s="40"/>
      <c r="N207" s="40"/>
      <c r="O207" s="40"/>
      <c r="P207" s="40"/>
      <c r="Q207" s="40"/>
      <c r="R207" s="40"/>
      <c r="S207" s="40"/>
      <c r="T207" s="40"/>
      <c r="U207" s="43"/>
      <c r="V207" s="43"/>
      <c r="W207" s="43"/>
      <c r="X207" s="43"/>
      <c r="Y207" s="43"/>
    </row>
    <row r="208" spans="7:25" x14ac:dyDescent="0.35">
      <c r="G208" s="73"/>
      <c r="H208" s="40"/>
      <c r="I208" s="40"/>
      <c r="J208" s="40"/>
      <c r="K208" s="41"/>
      <c r="L208" s="40"/>
      <c r="M208" s="40"/>
      <c r="N208" s="40"/>
      <c r="O208" s="40"/>
      <c r="P208" s="40"/>
      <c r="Q208" s="40"/>
      <c r="R208" s="40"/>
      <c r="S208" s="40"/>
      <c r="T208" s="40"/>
      <c r="U208" s="43"/>
      <c r="V208" s="43"/>
      <c r="W208" s="43"/>
      <c r="X208" s="43"/>
      <c r="Y208" s="43"/>
    </row>
    <row r="209" spans="7:25" x14ac:dyDescent="0.35">
      <c r="G209" s="40"/>
      <c r="H209" s="40"/>
      <c r="I209" s="40"/>
      <c r="J209" s="40"/>
      <c r="K209" s="41"/>
      <c r="L209" s="40"/>
      <c r="M209" s="40"/>
      <c r="N209" s="40"/>
      <c r="O209" s="40"/>
      <c r="P209" s="40"/>
      <c r="Q209" s="40"/>
      <c r="R209" s="40"/>
      <c r="S209" s="40"/>
      <c r="T209" s="40"/>
      <c r="U209" s="43"/>
      <c r="V209" s="43"/>
      <c r="W209" s="43"/>
      <c r="X209" s="43"/>
      <c r="Y209" s="43"/>
    </row>
    <row r="210" spans="7:25" x14ac:dyDescent="0.35">
      <c r="G210" s="40"/>
      <c r="H210" s="40"/>
      <c r="I210" s="40"/>
      <c r="J210" s="40"/>
      <c r="K210" s="41"/>
      <c r="L210" s="40"/>
      <c r="M210" s="40"/>
      <c r="N210" s="40"/>
      <c r="O210" s="40"/>
      <c r="P210" s="40"/>
      <c r="Q210" s="40"/>
      <c r="R210" s="40"/>
      <c r="S210" s="40"/>
      <c r="T210" s="40"/>
      <c r="U210" s="43"/>
      <c r="V210" s="43"/>
      <c r="W210" s="43"/>
      <c r="X210" s="43"/>
      <c r="Y210" s="43"/>
    </row>
    <row r="211" spans="7:25" x14ac:dyDescent="0.35">
      <c r="G211" s="40"/>
      <c r="H211" s="40"/>
      <c r="I211" s="40"/>
      <c r="J211" s="40"/>
      <c r="K211" s="41"/>
      <c r="L211" s="40"/>
      <c r="M211" s="40"/>
      <c r="N211" s="40"/>
      <c r="O211" s="40"/>
      <c r="P211" s="40"/>
      <c r="Q211" s="40"/>
      <c r="R211" s="40"/>
      <c r="S211" s="40"/>
      <c r="T211" s="40"/>
      <c r="U211" s="43"/>
      <c r="V211" s="43"/>
      <c r="W211" s="43"/>
      <c r="X211" s="43"/>
      <c r="Y211" s="43"/>
    </row>
    <row r="212" spans="7:25" x14ac:dyDescent="0.35">
      <c r="G212" s="40"/>
      <c r="H212" s="40"/>
      <c r="I212" s="40"/>
      <c r="J212" s="40"/>
      <c r="K212" s="41"/>
      <c r="L212" s="40"/>
      <c r="M212" s="40"/>
      <c r="N212" s="40"/>
      <c r="O212" s="40"/>
      <c r="P212" s="40"/>
      <c r="Q212" s="40"/>
      <c r="R212" s="40"/>
      <c r="S212" s="40"/>
      <c r="T212" s="40"/>
      <c r="U212" s="43"/>
      <c r="V212" s="43"/>
      <c r="W212" s="43"/>
      <c r="X212" s="43"/>
      <c r="Y212" s="43"/>
    </row>
    <row r="213" spans="7:25" x14ac:dyDescent="0.35">
      <c r="G213" s="40"/>
      <c r="H213" s="40"/>
      <c r="I213" s="40"/>
      <c r="J213" s="40"/>
      <c r="K213" s="41"/>
      <c r="L213" s="40"/>
      <c r="M213" s="40"/>
      <c r="N213" s="40"/>
      <c r="O213" s="40"/>
      <c r="P213" s="40"/>
      <c r="Q213" s="40"/>
      <c r="R213" s="40"/>
      <c r="S213" s="40"/>
      <c r="T213" s="40"/>
      <c r="U213" s="43"/>
      <c r="V213" s="43"/>
      <c r="W213" s="43"/>
      <c r="X213" s="43"/>
      <c r="Y213" s="43"/>
    </row>
    <row r="214" spans="7:25" x14ac:dyDescent="0.35">
      <c r="G214" s="40"/>
      <c r="H214" s="40"/>
      <c r="I214" s="40"/>
      <c r="J214" s="40"/>
      <c r="K214" s="41"/>
      <c r="L214" s="40"/>
      <c r="M214" s="40"/>
      <c r="N214" s="40"/>
      <c r="O214" s="40"/>
      <c r="P214" s="40"/>
      <c r="Q214" s="40"/>
      <c r="R214" s="40"/>
      <c r="S214" s="40"/>
      <c r="T214" s="40"/>
      <c r="U214" s="43"/>
      <c r="V214" s="43"/>
      <c r="W214" s="43"/>
      <c r="X214" s="43"/>
      <c r="Y214" s="43"/>
    </row>
    <row r="215" spans="7:25" x14ac:dyDescent="0.35">
      <c r="G215" s="40"/>
      <c r="H215" s="40"/>
      <c r="I215" s="40"/>
      <c r="J215" s="40"/>
      <c r="K215" s="41"/>
      <c r="L215" s="40"/>
      <c r="M215" s="40"/>
      <c r="N215" s="40"/>
      <c r="O215" s="40"/>
      <c r="P215" s="40"/>
      <c r="Q215" s="40"/>
      <c r="R215" s="40"/>
      <c r="S215" s="40"/>
      <c r="T215" s="40"/>
      <c r="U215" s="43"/>
      <c r="V215" s="43"/>
      <c r="W215" s="43"/>
      <c r="X215" s="43"/>
      <c r="Y215" s="43"/>
    </row>
    <row r="216" spans="7:25" x14ac:dyDescent="0.35">
      <c r="G216" s="40"/>
      <c r="H216" s="40"/>
      <c r="I216" s="40"/>
      <c r="J216" s="40"/>
      <c r="K216" s="41"/>
      <c r="L216" s="40"/>
      <c r="M216" s="40"/>
      <c r="N216" s="40"/>
      <c r="O216" s="40"/>
      <c r="P216" s="40"/>
      <c r="Q216" s="40"/>
      <c r="R216" s="40"/>
      <c r="S216" s="40"/>
      <c r="T216" s="40"/>
      <c r="U216" s="43"/>
      <c r="V216" s="43"/>
      <c r="W216" s="43"/>
      <c r="X216" s="43"/>
      <c r="Y216" s="43"/>
    </row>
    <row r="217" spans="7:25" x14ac:dyDescent="0.35">
      <c r="G217" s="40"/>
      <c r="H217" s="40"/>
      <c r="I217" s="40"/>
      <c r="J217" s="40"/>
      <c r="K217" s="41"/>
      <c r="L217" s="40"/>
      <c r="M217" s="40"/>
      <c r="N217" s="40"/>
      <c r="O217" s="40"/>
      <c r="P217" s="40"/>
      <c r="Q217" s="40"/>
      <c r="R217" s="40"/>
      <c r="S217" s="40"/>
      <c r="T217" s="40"/>
      <c r="U217" s="43"/>
      <c r="V217" s="43"/>
      <c r="W217" s="43"/>
      <c r="X217" s="43"/>
      <c r="Y217" s="43"/>
    </row>
    <row r="218" spans="7:25" x14ac:dyDescent="0.35">
      <c r="G218" s="40"/>
      <c r="H218" s="40"/>
      <c r="I218" s="40"/>
      <c r="J218" s="40"/>
      <c r="K218" s="41"/>
      <c r="L218" s="40"/>
      <c r="M218" s="40"/>
      <c r="N218" s="40"/>
      <c r="O218" s="40"/>
      <c r="P218" s="40"/>
      <c r="Q218" s="40"/>
      <c r="R218" s="40"/>
      <c r="S218" s="40"/>
      <c r="T218" s="40"/>
      <c r="U218" s="43"/>
      <c r="V218" s="43"/>
      <c r="W218" s="43"/>
      <c r="X218" s="43"/>
      <c r="Y218" s="43"/>
    </row>
    <row r="219" spans="7:25" x14ac:dyDescent="0.35">
      <c r="G219" s="40"/>
      <c r="H219" s="40"/>
      <c r="I219" s="40"/>
      <c r="J219" s="40"/>
      <c r="K219" s="41"/>
      <c r="L219" s="40"/>
      <c r="M219" s="40"/>
      <c r="N219" s="40"/>
      <c r="O219" s="40"/>
      <c r="P219" s="40"/>
      <c r="Q219" s="40"/>
      <c r="R219" s="40"/>
      <c r="S219" s="40"/>
      <c r="T219" s="40"/>
      <c r="U219" s="43"/>
      <c r="V219" s="43"/>
      <c r="W219" s="43"/>
      <c r="X219" s="43"/>
      <c r="Y219" s="43"/>
    </row>
    <row r="220" spans="7:25" x14ac:dyDescent="0.35">
      <c r="G220" s="40"/>
      <c r="H220" s="40"/>
      <c r="I220" s="40"/>
      <c r="J220" s="40"/>
      <c r="K220" s="41"/>
      <c r="L220" s="40"/>
      <c r="M220" s="40"/>
      <c r="N220" s="40"/>
      <c r="O220" s="40"/>
      <c r="P220" s="40"/>
      <c r="Q220" s="40"/>
      <c r="R220" s="40"/>
      <c r="S220" s="40"/>
      <c r="T220" s="40"/>
      <c r="U220" s="43"/>
      <c r="V220" s="43"/>
      <c r="W220" s="43"/>
      <c r="X220" s="43"/>
      <c r="Y220" s="43"/>
    </row>
    <row r="221" spans="7:25" x14ac:dyDescent="0.35">
      <c r="G221" s="40"/>
      <c r="H221" s="40"/>
      <c r="I221" s="40"/>
      <c r="J221" s="40"/>
      <c r="K221" s="41"/>
      <c r="L221" s="40"/>
      <c r="M221" s="40"/>
      <c r="N221" s="40"/>
      <c r="O221" s="40"/>
      <c r="P221" s="40"/>
      <c r="Q221" s="40"/>
      <c r="R221" s="40"/>
      <c r="S221" s="40"/>
      <c r="T221" s="40"/>
      <c r="U221" s="43"/>
      <c r="V221" s="43"/>
      <c r="W221" s="43"/>
      <c r="X221" s="43"/>
      <c r="Y221" s="43"/>
    </row>
    <row r="222" spans="7:25" x14ac:dyDescent="0.35">
      <c r="G222" s="40"/>
      <c r="H222" s="40"/>
      <c r="I222" s="40"/>
      <c r="J222" s="40"/>
      <c r="K222" s="41"/>
      <c r="L222" s="40"/>
      <c r="M222" s="40"/>
      <c r="N222" s="40"/>
      <c r="O222" s="40"/>
      <c r="P222" s="40"/>
      <c r="Q222" s="40"/>
      <c r="R222" s="40"/>
      <c r="S222" s="40"/>
      <c r="T222" s="40"/>
      <c r="U222" s="43"/>
      <c r="V222" s="43"/>
      <c r="W222" s="43"/>
      <c r="X222" s="43"/>
      <c r="Y222" s="43"/>
    </row>
    <row r="223" spans="7:25" x14ac:dyDescent="0.35">
      <c r="G223" s="40"/>
      <c r="H223" s="40"/>
      <c r="I223" s="40"/>
      <c r="J223" s="40"/>
      <c r="K223" s="41"/>
      <c r="L223" s="40"/>
      <c r="M223" s="40"/>
      <c r="N223" s="40"/>
      <c r="O223" s="40"/>
      <c r="P223" s="40"/>
      <c r="Q223" s="40"/>
      <c r="R223" s="40"/>
      <c r="S223" s="40"/>
      <c r="T223" s="40"/>
      <c r="U223" s="43"/>
      <c r="V223" s="43"/>
      <c r="W223" s="43"/>
      <c r="X223" s="43"/>
      <c r="Y223" s="43"/>
    </row>
    <row r="224" spans="7:25" x14ac:dyDescent="0.35">
      <c r="G224" s="40"/>
      <c r="H224" s="40"/>
      <c r="I224" s="40"/>
      <c r="J224" s="40"/>
      <c r="K224" s="41"/>
      <c r="L224" s="40"/>
      <c r="M224" s="40"/>
      <c r="N224" s="40"/>
      <c r="O224" s="40"/>
      <c r="P224" s="40"/>
      <c r="Q224" s="40"/>
      <c r="R224" s="40"/>
      <c r="S224" s="40"/>
      <c r="T224" s="40"/>
      <c r="U224" s="43"/>
      <c r="V224" s="43"/>
      <c r="W224" s="43"/>
      <c r="X224" s="43"/>
      <c r="Y224" s="43"/>
    </row>
    <row r="225" spans="7:25" x14ac:dyDescent="0.35">
      <c r="G225" s="40"/>
      <c r="H225" s="40"/>
      <c r="I225" s="40"/>
      <c r="J225" s="40"/>
      <c r="K225" s="41"/>
      <c r="L225" s="40"/>
      <c r="M225" s="40"/>
      <c r="N225" s="40"/>
      <c r="O225" s="40"/>
      <c r="P225" s="40"/>
      <c r="Q225" s="40"/>
      <c r="R225" s="40"/>
      <c r="S225" s="40"/>
      <c r="T225" s="40"/>
      <c r="U225" s="43"/>
      <c r="V225" s="43"/>
      <c r="W225" s="43"/>
      <c r="X225" s="43"/>
      <c r="Y225" s="43"/>
    </row>
    <row r="226" spans="7:25" x14ac:dyDescent="0.35">
      <c r="G226" s="40"/>
      <c r="H226" s="40"/>
      <c r="I226" s="40"/>
      <c r="J226" s="40"/>
      <c r="K226" s="41"/>
      <c r="L226" s="40"/>
      <c r="M226" s="40"/>
      <c r="N226" s="40"/>
      <c r="O226" s="40"/>
      <c r="P226" s="40"/>
      <c r="Q226" s="40"/>
      <c r="R226" s="40"/>
      <c r="S226" s="40"/>
      <c r="T226" s="40"/>
      <c r="U226" s="43"/>
      <c r="V226" s="43"/>
      <c r="W226" s="43"/>
      <c r="X226" s="43"/>
      <c r="Y226" s="43"/>
    </row>
    <row r="227" spans="7:25" x14ac:dyDescent="0.35">
      <c r="G227" s="40"/>
      <c r="H227" s="40"/>
      <c r="I227" s="40"/>
      <c r="J227" s="40"/>
      <c r="K227" s="41"/>
      <c r="L227" s="40"/>
      <c r="M227" s="40"/>
      <c r="N227" s="40"/>
      <c r="O227" s="40"/>
      <c r="P227" s="40"/>
      <c r="Q227" s="40"/>
      <c r="R227" s="40"/>
      <c r="S227" s="40"/>
      <c r="T227" s="40"/>
      <c r="U227" s="43"/>
      <c r="V227" s="43"/>
      <c r="W227" s="43"/>
      <c r="X227" s="43"/>
      <c r="Y227" s="43"/>
    </row>
    <row r="228" spans="7:25" x14ac:dyDescent="0.35">
      <c r="G228" s="40"/>
      <c r="H228" s="40"/>
      <c r="I228" s="40"/>
      <c r="J228" s="40"/>
      <c r="K228" s="41"/>
      <c r="L228" s="40"/>
      <c r="M228" s="40"/>
      <c r="N228" s="40"/>
      <c r="O228" s="40"/>
      <c r="P228" s="40"/>
      <c r="Q228" s="40"/>
      <c r="R228" s="40"/>
      <c r="S228" s="40"/>
      <c r="T228" s="40"/>
      <c r="U228" s="43"/>
      <c r="V228" s="43"/>
      <c r="W228" s="43"/>
      <c r="X228" s="43"/>
      <c r="Y228" s="43"/>
    </row>
    <row r="229" spans="7:25" x14ac:dyDescent="0.35">
      <c r="G229" s="40"/>
      <c r="H229" s="40"/>
      <c r="I229" s="40"/>
      <c r="J229" s="40"/>
      <c r="K229" s="41"/>
      <c r="L229" s="40"/>
      <c r="M229" s="40"/>
      <c r="N229" s="40"/>
      <c r="O229" s="40"/>
      <c r="P229" s="40"/>
      <c r="Q229" s="40"/>
      <c r="R229" s="40"/>
      <c r="S229" s="40"/>
      <c r="T229" s="40"/>
      <c r="U229" s="43"/>
      <c r="V229" s="43"/>
      <c r="W229" s="43"/>
      <c r="X229" s="43"/>
      <c r="Y229" s="43"/>
    </row>
    <row r="230" spans="7:25" x14ac:dyDescent="0.35">
      <c r="G230" s="40"/>
      <c r="H230" s="40"/>
      <c r="I230" s="40"/>
      <c r="J230" s="40"/>
      <c r="K230" s="41"/>
      <c r="L230" s="40"/>
      <c r="M230" s="40"/>
      <c r="N230" s="40"/>
      <c r="O230" s="40"/>
      <c r="P230" s="40"/>
      <c r="Q230" s="40"/>
      <c r="R230" s="40"/>
      <c r="S230" s="40"/>
      <c r="T230" s="40"/>
      <c r="U230" s="43"/>
      <c r="V230" s="43"/>
      <c r="W230" s="43"/>
      <c r="X230" s="43"/>
      <c r="Y230" s="43"/>
    </row>
    <row r="231" spans="7:25" x14ac:dyDescent="0.35">
      <c r="G231" s="40"/>
      <c r="H231" s="40"/>
      <c r="I231" s="40"/>
      <c r="J231" s="40"/>
      <c r="K231" s="41"/>
      <c r="L231" s="40"/>
      <c r="M231" s="40"/>
      <c r="N231" s="40"/>
      <c r="O231" s="40"/>
      <c r="P231" s="40"/>
      <c r="Q231" s="40"/>
      <c r="R231" s="40"/>
      <c r="S231" s="40"/>
      <c r="T231" s="40"/>
      <c r="U231" s="43"/>
      <c r="V231" s="43"/>
      <c r="W231" s="43"/>
      <c r="X231" s="43"/>
      <c r="Y231" s="43"/>
    </row>
    <row r="232" spans="7:25" x14ac:dyDescent="0.35">
      <c r="G232" s="40"/>
      <c r="H232" s="40"/>
      <c r="I232" s="40"/>
      <c r="J232" s="40"/>
      <c r="K232" s="41"/>
      <c r="L232" s="40"/>
      <c r="M232" s="40"/>
      <c r="N232" s="40"/>
      <c r="O232" s="40"/>
      <c r="P232" s="40"/>
      <c r="Q232" s="40"/>
      <c r="R232" s="40"/>
      <c r="S232" s="40"/>
      <c r="T232" s="40"/>
      <c r="U232" s="43"/>
      <c r="V232" s="43"/>
      <c r="W232" s="43"/>
      <c r="X232" s="43"/>
      <c r="Y232" s="43"/>
    </row>
    <row r="233" spans="7:25" x14ac:dyDescent="0.35">
      <c r="G233" s="40"/>
      <c r="H233" s="40"/>
      <c r="I233" s="40"/>
      <c r="J233" s="40"/>
      <c r="K233" s="41"/>
      <c r="L233" s="40"/>
      <c r="M233" s="40"/>
      <c r="N233" s="40"/>
      <c r="O233" s="40"/>
      <c r="P233" s="40"/>
      <c r="Q233" s="40"/>
      <c r="R233" s="40"/>
      <c r="S233" s="40"/>
      <c r="T233" s="40"/>
      <c r="U233" s="43"/>
      <c r="V233" s="43"/>
      <c r="W233" s="43"/>
      <c r="X233" s="43"/>
      <c r="Y233" s="43"/>
    </row>
    <row r="234" spans="7:25" x14ac:dyDescent="0.35">
      <c r="G234" s="40"/>
      <c r="H234" s="40"/>
      <c r="I234" s="40"/>
      <c r="J234" s="40"/>
      <c r="K234" s="41"/>
      <c r="L234" s="40"/>
      <c r="M234" s="40"/>
      <c r="N234" s="40"/>
      <c r="O234" s="40"/>
      <c r="P234" s="40"/>
      <c r="Q234" s="40"/>
      <c r="R234" s="40"/>
      <c r="S234" s="40"/>
      <c r="T234" s="40"/>
      <c r="U234" s="43"/>
      <c r="V234" s="43"/>
      <c r="W234" s="43"/>
      <c r="X234" s="43"/>
      <c r="Y234" s="43"/>
    </row>
    <row r="235" spans="7:25" x14ac:dyDescent="0.35">
      <c r="G235" s="40"/>
      <c r="H235" s="40"/>
      <c r="I235" s="40"/>
      <c r="J235" s="40"/>
      <c r="K235" s="41"/>
      <c r="L235" s="40"/>
      <c r="M235" s="40"/>
      <c r="N235" s="40"/>
      <c r="O235" s="40"/>
      <c r="P235" s="40"/>
      <c r="Q235" s="40"/>
      <c r="R235" s="40"/>
      <c r="S235" s="40"/>
      <c r="T235" s="40"/>
      <c r="U235" s="43"/>
      <c r="V235" s="43"/>
      <c r="W235" s="43"/>
      <c r="X235" s="43"/>
      <c r="Y235" s="43"/>
    </row>
    <row r="236" spans="7:25" x14ac:dyDescent="0.35">
      <c r="G236" s="40"/>
      <c r="H236" s="40"/>
      <c r="I236" s="40"/>
      <c r="J236" s="40"/>
      <c r="K236" s="41"/>
      <c r="L236" s="40"/>
      <c r="M236" s="40"/>
      <c r="N236" s="40"/>
      <c r="O236" s="40"/>
      <c r="P236" s="40"/>
      <c r="Q236" s="40"/>
      <c r="R236" s="40"/>
      <c r="S236" s="40"/>
      <c r="T236" s="40"/>
      <c r="U236" s="43"/>
      <c r="V236" s="43"/>
      <c r="W236" s="43"/>
      <c r="X236" s="43"/>
      <c r="Y236" s="43"/>
    </row>
    <row r="237" spans="7:25" x14ac:dyDescent="0.35">
      <c r="G237" s="40"/>
      <c r="H237" s="40"/>
      <c r="I237" s="40"/>
      <c r="J237" s="40"/>
      <c r="K237" s="41"/>
      <c r="L237" s="40"/>
      <c r="M237" s="40"/>
      <c r="N237" s="40"/>
      <c r="O237" s="40"/>
      <c r="P237" s="40"/>
      <c r="Q237" s="40"/>
      <c r="R237" s="40"/>
      <c r="S237" s="40"/>
      <c r="T237" s="40"/>
      <c r="U237" s="43"/>
      <c r="V237" s="43"/>
      <c r="W237" s="43"/>
      <c r="X237" s="43"/>
      <c r="Y237" s="43"/>
    </row>
    <row r="238" spans="7:25" x14ac:dyDescent="0.35">
      <c r="G238" s="40"/>
      <c r="H238" s="40"/>
      <c r="I238" s="40"/>
      <c r="J238" s="40"/>
      <c r="K238" s="41"/>
      <c r="L238" s="40"/>
      <c r="M238" s="40"/>
      <c r="N238" s="40"/>
      <c r="O238" s="40"/>
      <c r="P238" s="40"/>
      <c r="Q238" s="40"/>
      <c r="R238" s="40"/>
      <c r="S238" s="40"/>
      <c r="T238" s="40"/>
      <c r="U238" s="43"/>
      <c r="V238" s="43"/>
      <c r="W238" s="43"/>
      <c r="X238" s="43"/>
      <c r="Y238" s="43"/>
    </row>
    <row r="239" spans="7:25" x14ac:dyDescent="0.35">
      <c r="G239" s="40"/>
      <c r="H239" s="40"/>
      <c r="I239" s="40"/>
      <c r="J239" s="40"/>
      <c r="K239" s="41"/>
      <c r="L239" s="40"/>
      <c r="M239" s="40"/>
      <c r="N239" s="40"/>
      <c r="O239" s="40"/>
      <c r="P239" s="40"/>
      <c r="Q239" s="40"/>
      <c r="R239" s="40"/>
      <c r="S239" s="40"/>
      <c r="T239" s="40"/>
      <c r="U239" s="43"/>
      <c r="V239" s="43"/>
      <c r="W239" s="43"/>
      <c r="X239" s="43"/>
      <c r="Y239" s="43"/>
    </row>
    <row r="240" spans="7:25" x14ac:dyDescent="0.35">
      <c r="G240" s="40"/>
      <c r="H240" s="40"/>
      <c r="I240" s="40"/>
      <c r="J240" s="40"/>
      <c r="K240" s="41"/>
      <c r="L240" s="40"/>
      <c r="M240" s="40"/>
      <c r="N240" s="40"/>
      <c r="O240" s="40"/>
      <c r="P240" s="40"/>
      <c r="Q240" s="40"/>
      <c r="R240" s="40"/>
      <c r="S240" s="40"/>
      <c r="T240" s="40"/>
      <c r="U240" s="43"/>
      <c r="V240" s="43"/>
      <c r="W240" s="43"/>
      <c r="X240" s="43"/>
      <c r="Y240" s="43"/>
    </row>
    <row r="241" spans="7:25" x14ac:dyDescent="0.35">
      <c r="G241" s="40"/>
      <c r="H241" s="40"/>
      <c r="I241" s="40"/>
      <c r="J241" s="40"/>
      <c r="K241" s="41"/>
      <c r="L241" s="40"/>
      <c r="M241" s="40"/>
      <c r="N241" s="40"/>
      <c r="O241" s="40"/>
      <c r="P241" s="40"/>
      <c r="Q241" s="40"/>
      <c r="R241" s="40"/>
      <c r="S241" s="40"/>
      <c r="T241" s="40"/>
      <c r="U241" s="43"/>
      <c r="V241" s="43"/>
      <c r="W241" s="43"/>
      <c r="X241" s="43"/>
      <c r="Y241" s="43"/>
    </row>
    <row r="242" spans="7:25" x14ac:dyDescent="0.35">
      <c r="G242" s="40"/>
      <c r="H242" s="40"/>
      <c r="I242" s="40"/>
      <c r="J242" s="40"/>
      <c r="K242" s="41"/>
      <c r="L242" s="40"/>
      <c r="M242" s="40"/>
      <c r="N242" s="40"/>
      <c r="O242" s="40"/>
      <c r="P242" s="40"/>
      <c r="Q242" s="40"/>
      <c r="R242" s="40"/>
      <c r="S242" s="40"/>
      <c r="T242" s="40"/>
      <c r="U242" s="43"/>
      <c r="V242" s="43"/>
      <c r="W242" s="43"/>
      <c r="X242" s="43"/>
      <c r="Y242" s="43"/>
    </row>
    <row r="243" spans="7:25" x14ac:dyDescent="0.35">
      <c r="G243" s="40"/>
      <c r="H243" s="40"/>
      <c r="I243" s="40"/>
      <c r="J243" s="40"/>
      <c r="K243" s="41"/>
      <c r="L243" s="40"/>
      <c r="M243" s="40"/>
      <c r="N243" s="40"/>
      <c r="O243" s="40"/>
      <c r="P243" s="40"/>
      <c r="Q243" s="40"/>
      <c r="R243" s="40"/>
      <c r="S243" s="40"/>
      <c r="T243" s="40"/>
      <c r="U243" s="43"/>
      <c r="V243" s="43"/>
      <c r="W243" s="43"/>
      <c r="X243" s="43"/>
      <c r="Y243" s="43"/>
    </row>
    <row r="244" spans="7:25" x14ac:dyDescent="0.35">
      <c r="G244" s="40"/>
      <c r="H244" s="40"/>
      <c r="I244" s="40"/>
      <c r="J244" s="40"/>
      <c r="K244" s="41"/>
      <c r="L244" s="40"/>
      <c r="M244" s="40"/>
      <c r="N244" s="40"/>
      <c r="O244" s="40"/>
      <c r="P244" s="40"/>
      <c r="Q244" s="40"/>
      <c r="R244" s="40"/>
      <c r="S244" s="40"/>
      <c r="T244" s="40"/>
      <c r="U244" s="43"/>
      <c r="V244" s="43"/>
      <c r="W244" s="43"/>
      <c r="X244" s="43"/>
      <c r="Y244" s="43"/>
    </row>
    <row r="245" spans="7:25" x14ac:dyDescent="0.35">
      <c r="G245" s="40"/>
      <c r="H245" s="40"/>
      <c r="I245" s="40"/>
      <c r="J245" s="40"/>
      <c r="K245" s="41"/>
      <c r="L245" s="40"/>
      <c r="M245" s="40"/>
      <c r="N245" s="40"/>
      <c r="O245" s="40"/>
      <c r="P245" s="40"/>
      <c r="Q245" s="40"/>
      <c r="R245" s="40"/>
      <c r="S245" s="40"/>
      <c r="T245" s="40"/>
      <c r="U245" s="43"/>
      <c r="V245" s="43"/>
      <c r="W245" s="43"/>
      <c r="X245" s="43"/>
      <c r="Y245" s="43"/>
    </row>
    <row r="246" spans="7:25" x14ac:dyDescent="0.35">
      <c r="G246" s="40"/>
      <c r="H246" s="40"/>
      <c r="I246" s="40"/>
      <c r="J246" s="40"/>
      <c r="K246" s="41"/>
      <c r="L246" s="40"/>
      <c r="M246" s="40"/>
      <c r="N246" s="40"/>
      <c r="O246" s="40"/>
      <c r="P246" s="40"/>
      <c r="Q246" s="40"/>
      <c r="R246" s="40"/>
      <c r="S246" s="40"/>
      <c r="T246" s="40"/>
      <c r="U246" s="43"/>
      <c r="V246" s="43"/>
      <c r="W246" s="43"/>
      <c r="X246" s="43"/>
      <c r="Y246" s="43"/>
    </row>
    <row r="247" spans="7:25" x14ac:dyDescent="0.35">
      <c r="G247" s="40"/>
      <c r="H247" s="40"/>
      <c r="I247" s="40"/>
      <c r="J247" s="40"/>
      <c r="K247" s="41"/>
      <c r="L247" s="40"/>
      <c r="M247" s="40"/>
      <c r="N247" s="40"/>
      <c r="O247" s="40"/>
      <c r="P247" s="40"/>
      <c r="Q247" s="40"/>
      <c r="R247" s="40"/>
      <c r="S247" s="40"/>
      <c r="T247" s="40"/>
      <c r="U247" s="43"/>
      <c r="V247" s="43"/>
      <c r="W247" s="43"/>
      <c r="X247" s="43"/>
      <c r="Y247" s="43"/>
    </row>
    <row r="248" spans="7:25" x14ac:dyDescent="0.35">
      <c r="G248" s="40"/>
      <c r="H248" s="40"/>
      <c r="I248" s="40"/>
      <c r="J248" s="40"/>
      <c r="K248" s="41"/>
      <c r="L248" s="40"/>
      <c r="M248" s="40"/>
      <c r="N248" s="40"/>
      <c r="O248" s="40"/>
      <c r="P248" s="40"/>
      <c r="Q248" s="40"/>
      <c r="R248" s="40"/>
      <c r="S248" s="40"/>
      <c r="T248" s="40"/>
      <c r="U248" s="43"/>
      <c r="V248" s="43"/>
      <c r="W248" s="43"/>
      <c r="X248" s="43"/>
      <c r="Y248" s="43"/>
    </row>
    <row r="249" spans="7:25" x14ac:dyDescent="0.35">
      <c r="G249" s="40"/>
      <c r="H249" s="40"/>
      <c r="I249" s="40"/>
      <c r="J249" s="40"/>
      <c r="K249" s="41"/>
      <c r="L249" s="40"/>
      <c r="M249" s="40"/>
      <c r="N249" s="40"/>
      <c r="O249" s="40"/>
      <c r="P249" s="40"/>
      <c r="Q249" s="40"/>
      <c r="R249" s="40"/>
      <c r="S249" s="40"/>
      <c r="T249" s="40"/>
      <c r="U249" s="43"/>
      <c r="V249" s="43"/>
      <c r="W249" s="43"/>
      <c r="X249" s="43"/>
      <c r="Y249" s="43"/>
    </row>
    <row r="250" spans="7:25" x14ac:dyDescent="0.35">
      <c r="G250" s="40"/>
      <c r="H250" s="40"/>
      <c r="I250" s="40"/>
      <c r="J250" s="40"/>
      <c r="K250" s="41"/>
      <c r="L250" s="40"/>
      <c r="M250" s="40"/>
      <c r="N250" s="40"/>
      <c r="O250" s="40"/>
      <c r="P250" s="40"/>
      <c r="Q250" s="40"/>
      <c r="R250" s="40"/>
      <c r="S250" s="40"/>
      <c r="T250" s="40"/>
      <c r="U250" s="43"/>
      <c r="V250" s="43"/>
      <c r="W250" s="43"/>
      <c r="X250" s="43"/>
      <c r="Y250" s="43"/>
    </row>
    <row r="251" spans="7:25" x14ac:dyDescent="0.35">
      <c r="G251" s="40"/>
      <c r="H251" s="40"/>
      <c r="I251" s="40"/>
      <c r="J251" s="40"/>
      <c r="K251" s="41"/>
      <c r="L251" s="40"/>
      <c r="M251" s="40"/>
      <c r="N251" s="40"/>
      <c r="O251" s="40"/>
      <c r="P251" s="40"/>
      <c r="Q251" s="40"/>
      <c r="R251" s="40"/>
      <c r="S251" s="40"/>
      <c r="T251" s="40"/>
      <c r="U251" s="43"/>
      <c r="V251" s="43"/>
      <c r="W251" s="43"/>
      <c r="X251" s="43"/>
      <c r="Y251" s="43"/>
    </row>
    <row r="252" spans="7:25" x14ac:dyDescent="0.35">
      <c r="G252" s="40"/>
      <c r="H252" s="40"/>
      <c r="I252" s="40"/>
      <c r="J252" s="40"/>
      <c r="K252" s="41"/>
      <c r="L252" s="40"/>
      <c r="M252" s="40"/>
      <c r="N252" s="40"/>
      <c r="O252" s="40"/>
      <c r="P252" s="40"/>
      <c r="Q252" s="40"/>
      <c r="R252" s="40"/>
      <c r="S252" s="40"/>
      <c r="T252" s="40"/>
      <c r="U252" s="43"/>
      <c r="V252" s="43"/>
      <c r="W252" s="43"/>
      <c r="X252" s="43"/>
      <c r="Y252" s="43"/>
    </row>
    <row r="253" spans="7:25" x14ac:dyDescent="0.35">
      <c r="G253" s="40"/>
      <c r="H253" s="40"/>
      <c r="I253" s="40"/>
      <c r="J253" s="40"/>
      <c r="K253" s="41"/>
      <c r="L253" s="40"/>
      <c r="M253" s="40"/>
      <c r="N253" s="40"/>
      <c r="O253" s="40"/>
      <c r="P253" s="40"/>
      <c r="Q253" s="40"/>
      <c r="R253" s="40"/>
      <c r="S253" s="40"/>
      <c r="T253" s="40"/>
      <c r="U253" s="43"/>
      <c r="V253" s="43"/>
      <c r="W253" s="43"/>
      <c r="X253" s="43"/>
      <c r="Y253" s="43"/>
    </row>
    <row r="254" spans="7:25" x14ac:dyDescent="0.35">
      <c r="G254" s="40"/>
      <c r="H254" s="40"/>
      <c r="I254" s="40"/>
      <c r="J254" s="40"/>
      <c r="K254" s="41"/>
      <c r="L254" s="40"/>
      <c r="M254" s="40"/>
      <c r="N254" s="40"/>
      <c r="O254" s="40"/>
      <c r="P254" s="40"/>
      <c r="Q254" s="40"/>
      <c r="R254" s="40"/>
      <c r="S254" s="40"/>
      <c r="T254" s="40"/>
      <c r="U254" s="43"/>
      <c r="V254" s="43"/>
      <c r="W254" s="43"/>
      <c r="X254" s="43"/>
      <c r="Y254" s="43"/>
    </row>
    <row r="255" spans="7:25" x14ac:dyDescent="0.35">
      <c r="G255" s="40"/>
      <c r="H255" s="40"/>
      <c r="I255" s="40"/>
      <c r="J255" s="40"/>
      <c r="K255" s="41"/>
      <c r="L255" s="40"/>
      <c r="M255" s="40"/>
      <c r="N255" s="40"/>
      <c r="O255" s="40"/>
      <c r="P255" s="40"/>
      <c r="Q255" s="40"/>
      <c r="R255" s="40"/>
      <c r="S255" s="40"/>
      <c r="T255" s="40"/>
      <c r="U255" s="43"/>
      <c r="V255" s="43"/>
      <c r="W255" s="43"/>
      <c r="X255" s="43"/>
      <c r="Y255" s="43"/>
    </row>
    <row r="256" spans="7:25" x14ac:dyDescent="0.35">
      <c r="G256" s="40"/>
      <c r="H256" s="40"/>
      <c r="I256" s="40"/>
      <c r="J256" s="40"/>
      <c r="K256" s="41"/>
      <c r="L256" s="40"/>
      <c r="M256" s="40"/>
      <c r="N256" s="40"/>
      <c r="O256" s="40"/>
      <c r="P256" s="40"/>
      <c r="Q256" s="40"/>
      <c r="R256" s="40"/>
      <c r="S256" s="40"/>
      <c r="T256" s="40"/>
      <c r="U256" s="43"/>
      <c r="V256" s="43"/>
      <c r="W256" s="43"/>
      <c r="X256" s="43"/>
      <c r="Y256" s="43"/>
    </row>
    <row r="257" spans="7:25" x14ac:dyDescent="0.35">
      <c r="G257" s="40"/>
      <c r="H257" s="40"/>
      <c r="I257" s="40"/>
      <c r="J257" s="40"/>
      <c r="K257" s="41"/>
      <c r="L257" s="40"/>
      <c r="M257" s="40"/>
      <c r="N257" s="40"/>
      <c r="O257" s="40"/>
      <c r="P257" s="40"/>
      <c r="Q257" s="40"/>
      <c r="R257" s="40"/>
      <c r="S257" s="40"/>
      <c r="T257" s="40"/>
      <c r="U257" s="43"/>
      <c r="V257" s="43"/>
      <c r="W257" s="43"/>
      <c r="X257" s="43"/>
      <c r="Y257" s="43"/>
    </row>
    <row r="258" spans="7:25" x14ac:dyDescent="0.35">
      <c r="G258" s="40"/>
      <c r="H258" s="40"/>
      <c r="I258" s="40"/>
      <c r="J258" s="40"/>
      <c r="K258" s="41"/>
      <c r="L258" s="40"/>
      <c r="M258" s="40"/>
      <c r="N258" s="40"/>
      <c r="O258" s="40"/>
      <c r="P258" s="40"/>
      <c r="Q258" s="40"/>
      <c r="R258" s="40"/>
      <c r="S258" s="40"/>
      <c r="T258" s="40"/>
      <c r="U258" s="43"/>
      <c r="V258" s="43"/>
      <c r="W258" s="43"/>
      <c r="X258" s="43"/>
      <c r="Y258" s="43"/>
    </row>
    <row r="259" spans="7:25" x14ac:dyDescent="0.35">
      <c r="G259" s="40"/>
      <c r="H259" s="40"/>
      <c r="I259" s="40"/>
      <c r="J259" s="40"/>
      <c r="K259" s="41"/>
      <c r="L259" s="40"/>
      <c r="M259" s="40"/>
      <c r="N259" s="40"/>
      <c r="O259" s="40"/>
      <c r="P259" s="40"/>
      <c r="Q259" s="40"/>
      <c r="R259" s="40"/>
      <c r="S259" s="40"/>
      <c r="T259" s="40"/>
      <c r="U259" s="43"/>
      <c r="V259" s="43"/>
      <c r="W259" s="43"/>
      <c r="X259" s="43"/>
      <c r="Y259" s="43"/>
    </row>
    <row r="260" spans="7:25" x14ac:dyDescent="0.35">
      <c r="G260" s="40"/>
      <c r="H260" s="40"/>
      <c r="I260" s="40"/>
      <c r="J260" s="40"/>
      <c r="K260" s="41"/>
      <c r="L260" s="40"/>
      <c r="M260" s="40"/>
      <c r="N260" s="40"/>
      <c r="O260" s="40"/>
      <c r="P260" s="40"/>
      <c r="Q260" s="40"/>
      <c r="R260" s="40"/>
      <c r="S260" s="40"/>
      <c r="T260" s="40"/>
      <c r="U260" s="43"/>
      <c r="V260" s="43"/>
      <c r="W260" s="43"/>
      <c r="X260" s="43"/>
      <c r="Y260" s="43"/>
    </row>
    <row r="261" spans="7:25" x14ac:dyDescent="0.35">
      <c r="G261" s="40"/>
      <c r="H261" s="40"/>
      <c r="I261" s="40"/>
      <c r="J261" s="40"/>
      <c r="K261" s="41"/>
      <c r="L261" s="40"/>
      <c r="M261" s="40"/>
      <c r="N261" s="40"/>
      <c r="O261" s="40"/>
      <c r="P261" s="40"/>
      <c r="Q261" s="40"/>
      <c r="R261" s="40"/>
      <c r="S261" s="40"/>
      <c r="T261" s="40"/>
      <c r="U261" s="43"/>
      <c r="V261" s="43"/>
      <c r="W261" s="43"/>
      <c r="X261" s="43"/>
      <c r="Y261" s="43"/>
    </row>
    <row r="262" spans="7:25" x14ac:dyDescent="0.35">
      <c r="G262" s="40"/>
      <c r="H262" s="40"/>
      <c r="I262" s="40"/>
      <c r="J262" s="40"/>
      <c r="K262" s="41"/>
      <c r="L262" s="40"/>
      <c r="M262" s="40"/>
      <c r="N262" s="40"/>
      <c r="O262" s="40"/>
      <c r="P262" s="40"/>
      <c r="Q262" s="40"/>
      <c r="R262" s="40"/>
      <c r="S262" s="40"/>
      <c r="T262" s="40"/>
      <c r="U262" s="43"/>
      <c r="V262" s="43"/>
      <c r="W262" s="43"/>
      <c r="X262" s="43"/>
      <c r="Y262" s="43"/>
    </row>
    <row r="263" spans="7:25" x14ac:dyDescent="0.35">
      <c r="G263" s="40"/>
      <c r="H263" s="40"/>
      <c r="I263" s="40"/>
      <c r="J263" s="40"/>
      <c r="K263" s="41"/>
      <c r="L263" s="40"/>
      <c r="M263" s="40"/>
      <c r="N263" s="40"/>
      <c r="O263" s="40"/>
      <c r="P263" s="40"/>
      <c r="Q263" s="40"/>
      <c r="R263" s="40"/>
      <c r="S263" s="40"/>
      <c r="T263" s="40"/>
      <c r="U263" s="43"/>
      <c r="V263" s="43"/>
      <c r="W263" s="43"/>
      <c r="X263" s="43"/>
      <c r="Y263" s="43"/>
    </row>
    <row r="264" spans="7:25" x14ac:dyDescent="0.35">
      <c r="G264" s="40"/>
      <c r="H264" s="40"/>
      <c r="I264" s="40"/>
      <c r="J264" s="40"/>
      <c r="K264" s="41"/>
      <c r="L264" s="40"/>
      <c r="M264" s="40"/>
      <c r="N264" s="40"/>
      <c r="O264" s="40"/>
      <c r="P264" s="40"/>
      <c r="Q264" s="40"/>
      <c r="R264" s="40"/>
      <c r="S264" s="40"/>
      <c r="T264" s="40"/>
      <c r="U264" s="43"/>
      <c r="V264" s="43"/>
      <c r="W264" s="43"/>
      <c r="X264" s="43"/>
      <c r="Y264" s="43"/>
    </row>
    <row r="265" spans="7:25" x14ac:dyDescent="0.35">
      <c r="G265" s="40"/>
      <c r="H265" s="40"/>
      <c r="I265" s="40"/>
      <c r="J265" s="40"/>
      <c r="K265" s="41"/>
      <c r="L265" s="40"/>
      <c r="M265" s="40"/>
      <c r="N265" s="40"/>
      <c r="O265" s="40"/>
      <c r="P265" s="40"/>
      <c r="Q265" s="40"/>
      <c r="R265" s="40"/>
      <c r="S265" s="40"/>
      <c r="T265" s="40"/>
      <c r="U265" s="43"/>
      <c r="V265" s="43"/>
      <c r="W265" s="43"/>
      <c r="X265" s="43"/>
      <c r="Y265" s="43"/>
    </row>
    <row r="266" spans="7:25" x14ac:dyDescent="0.35">
      <c r="G266" s="40"/>
      <c r="H266" s="40"/>
      <c r="I266" s="40"/>
      <c r="J266" s="40"/>
      <c r="K266" s="41"/>
      <c r="L266" s="40"/>
      <c r="M266" s="40"/>
      <c r="N266" s="40"/>
      <c r="O266" s="40"/>
      <c r="P266" s="40"/>
      <c r="Q266" s="40"/>
      <c r="R266" s="40"/>
      <c r="S266" s="40"/>
      <c r="T266" s="40"/>
      <c r="U266" s="43"/>
      <c r="V266" s="43"/>
      <c r="W266" s="43"/>
      <c r="X266" s="43"/>
      <c r="Y266" s="43"/>
    </row>
    <row r="267" spans="7:25" x14ac:dyDescent="0.35">
      <c r="G267" s="40"/>
      <c r="H267" s="40"/>
      <c r="I267" s="40"/>
      <c r="J267" s="40"/>
      <c r="K267" s="41"/>
      <c r="L267" s="40"/>
      <c r="M267" s="40"/>
      <c r="N267" s="40"/>
      <c r="O267" s="40"/>
      <c r="P267" s="40"/>
      <c r="Q267" s="40"/>
      <c r="R267" s="40"/>
      <c r="S267" s="40"/>
      <c r="T267" s="40"/>
      <c r="U267" s="43"/>
      <c r="V267" s="43"/>
      <c r="W267" s="43"/>
      <c r="X267" s="43"/>
      <c r="Y267" s="43"/>
    </row>
    <row r="268" spans="7:25" x14ac:dyDescent="0.35">
      <c r="G268" s="40"/>
      <c r="H268" s="40"/>
      <c r="I268" s="40"/>
      <c r="J268" s="40"/>
      <c r="K268" s="41"/>
      <c r="L268" s="40"/>
      <c r="M268" s="40"/>
      <c r="N268" s="40"/>
      <c r="O268" s="40"/>
      <c r="P268" s="40"/>
      <c r="Q268" s="40"/>
      <c r="R268" s="40"/>
      <c r="S268" s="40"/>
      <c r="T268" s="40"/>
      <c r="U268" s="43"/>
      <c r="V268" s="43"/>
      <c r="W268" s="43"/>
      <c r="X268" s="43"/>
      <c r="Y268" s="43"/>
    </row>
    <row r="269" spans="7:25" x14ac:dyDescent="0.35">
      <c r="G269" s="40"/>
      <c r="H269" s="40"/>
      <c r="I269" s="40"/>
      <c r="J269" s="40"/>
      <c r="K269" s="41"/>
      <c r="L269" s="40"/>
      <c r="M269" s="40"/>
      <c r="N269" s="40"/>
      <c r="O269" s="40"/>
      <c r="P269" s="40"/>
      <c r="Q269" s="40"/>
      <c r="R269" s="40"/>
      <c r="S269" s="40"/>
      <c r="T269" s="40"/>
      <c r="U269" s="43"/>
      <c r="V269" s="43"/>
      <c r="W269" s="43"/>
      <c r="X269" s="43"/>
      <c r="Y269" s="43"/>
    </row>
    <row r="270" spans="7:25" x14ac:dyDescent="0.35">
      <c r="G270" s="40"/>
      <c r="H270" s="40"/>
      <c r="I270" s="40"/>
      <c r="J270" s="40"/>
      <c r="K270" s="41"/>
      <c r="L270" s="40"/>
      <c r="M270" s="40"/>
      <c r="N270" s="40"/>
      <c r="O270" s="40"/>
      <c r="P270" s="40"/>
      <c r="Q270" s="40"/>
      <c r="R270" s="40"/>
      <c r="S270" s="40"/>
      <c r="T270" s="40"/>
      <c r="U270" s="43"/>
      <c r="V270" s="43"/>
      <c r="W270" s="43"/>
      <c r="X270" s="43"/>
      <c r="Y270" s="43"/>
    </row>
    <row r="271" spans="7:25" x14ac:dyDescent="0.35">
      <c r="G271" s="40"/>
      <c r="H271" s="40"/>
      <c r="I271" s="40"/>
      <c r="J271" s="40"/>
      <c r="K271" s="41"/>
      <c r="L271" s="40"/>
      <c r="M271" s="40"/>
      <c r="N271" s="40"/>
      <c r="O271" s="40"/>
      <c r="P271" s="40"/>
      <c r="Q271" s="40"/>
      <c r="R271" s="40"/>
      <c r="S271" s="40"/>
      <c r="T271" s="40"/>
      <c r="U271" s="43"/>
      <c r="V271" s="43"/>
      <c r="W271" s="43"/>
      <c r="X271" s="43"/>
      <c r="Y271" s="43"/>
    </row>
    <row r="272" spans="7:25" x14ac:dyDescent="0.35">
      <c r="G272" s="40"/>
      <c r="H272" s="40"/>
      <c r="I272" s="40"/>
      <c r="J272" s="40"/>
      <c r="K272" s="41"/>
      <c r="L272" s="40"/>
      <c r="M272" s="40"/>
      <c r="N272" s="40"/>
      <c r="O272" s="40"/>
      <c r="P272" s="40"/>
      <c r="Q272" s="40"/>
      <c r="R272" s="40"/>
      <c r="S272" s="40"/>
      <c r="T272" s="40"/>
      <c r="U272" s="43"/>
      <c r="V272" s="43"/>
      <c r="W272" s="43"/>
      <c r="X272" s="43"/>
      <c r="Y272" s="43"/>
    </row>
    <row r="273" spans="7:25" x14ac:dyDescent="0.35">
      <c r="G273" s="40"/>
      <c r="H273" s="40"/>
      <c r="I273" s="40"/>
      <c r="J273" s="40"/>
      <c r="K273" s="41"/>
      <c r="L273" s="40"/>
      <c r="M273" s="40"/>
      <c r="N273" s="40"/>
      <c r="O273" s="40"/>
      <c r="P273" s="40"/>
      <c r="Q273" s="40"/>
      <c r="R273" s="40"/>
      <c r="S273" s="40"/>
      <c r="T273" s="40"/>
      <c r="U273" s="43"/>
      <c r="V273" s="43"/>
      <c r="W273" s="43"/>
      <c r="X273" s="43"/>
      <c r="Y273" s="43"/>
    </row>
    <row r="274" spans="7:25" x14ac:dyDescent="0.35">
      <c r="G274" s="40"/>
      <c r="H274" s="40"/>
      <c r="I274" s="40"/>
      <c r="J274" s="40"/>
      <c r="K274" s="41"/>
      <c r="L274" s="40"/>
      <c r="M274" s="40"/>
      <c r="N274" s="40"/>
      <c r="O274" s="40"/>
      <c r="P274" s="40"/>
      <c r="Q274" s="40"/>
      <c r="R274" s="40"/>
      <c r="S274" s="40"/>
      <c r="T274" s="40"/>
      <c r="U274" s="43"/>
      <c r="V274" s="43"/>
      <c r="W274" s="43"/>
      <c r="X274" s="43"/>
      <c r="Y274" s="43"/>
    </row>
    <row r="275" spans="7:25" x14ac:dyDescent="0.35">
      <c r="G275" s="40"/>
      <c r="H275" s="40"/>
      <c r="I275" s="40"/>
      <c r="J275" s="40"/>
      <c r="K275" s="41"/>
      <c r="L275" s="40"/>
      <c r="M275" s="40"/>
      <c r="N275" s="40"/>
      <c r="O275" s="40"/>
      <c r="P275" s="40"/>
      <c r="Q275" s="40"/>
      <c r="R275" s="40"/>
      <c r="S275" s="40"/>
      <c r="T275" s="40"/>
      <c r="U275" s="43"/>
      <c r="V275" s="43"/>
      <c r="W275" s="43"/>
      <c r="X275" s="43"/>
      <c r="Y275" s="43"/>
    </row>
    <row r="276" spans="7:25" x14ac:dyDescent="0.35">
      <c r="G276" s="40"/>
      <c r="H276" s="40"/>
      <c r="I276" s="40"/>
      <c r="J276" s="40"/>
      <c r="K276" s="41"/>
      <c r="L276" s="40"/>
      <c r="M276" s="40"/>
      <c r="N276" s="40"/>
      <c r="O276" s="40"/>
      <c r="P276" s="40"/>
      <c r="Q276" s="40"/>
      <c r="R276" s="40"/>
      <c r="S276" s="40"/>
      <c r="T276" s="40"/>
      <c r="U276" s="43"/>
      <c r="V276" s="43"/>
      <c r="W276" s="43"/>
      <c r="X276" s="43"/>
      <c r="Y276" s="43"/>
    </row>
    <row r="277" spans="7:25" x14ac:dyDescent="0.35">
      <c r="G277" s="40"/>
      <c r="H277" s="40"/>
      <c r="I277" s="40"/>
      <c r="J277" s="40"/>
      <c r="K277" s="41"/>
      <c r="L277" s="40"/>
      <c r="M277" s="40"/>
      <c r="N277" s="40"/>
      <c r="O277" s="40"/>
      <c r="P277" s="40"/>
      <c r="Q277" s="40"/>
      <c r="R277" s="40"/>
      <c r="S277" s="40"/>
      <c r="T277" s="40"/>
      <c r="U277" s="43"/>
      <c r="V277" s="43"/>
      <c r="W277" s="43"/>
      <c r="X277" s="43"/>
      <c r="Y277" s="43"/>
    </row>
    <row r="278" spans="7:25" x14ac:dyDescent="0.35">
      <c r="G278" s="40"/>
      <c r="H278" s="40"/>
      <c r="I278" s="40"/>
      <c r="J278" s="40"/>
      <c r="K278" s="41"/>
      <c r="L278" s="40"/>
      <c r="M278" s="40"/>
      <c r="N278" s="40"/>
      <c r="O278" s="40"/>
      <c r="P278" s="40"/>
      <c r="Q278" s="40"/>
      <c r="R278" s="40"/>
      <c r="S278" s="40"/>
      <c r="T278" s="40"/>
      <c r="U278" s="43"/>
      <c r="V278" s="43"/>
      <c r="W278" s="43"/>
      <c r="X278" s="43"/>
      <c r="Y278" s="43"/>
    </row>
    <row r="279" spans="7:25" x14ac:dyDescent="0.35">
      <c r="G279" s="40"/>
      <c r="H279" s="40"/>
      <c r="I279" s="40"/>
      <c r="J279" s="40"/>
      <c r="K279" s="41"/>
      <c r="L279" s="40"/>
      <c r="M279" s="40"/>
      <c r="N279" s="40"/>
      <c r="O279" s="40"/>
      <c r="P279" s="40"/>
      <c r="Q279" s="40"/>
      <c r="R279" s="40"/>
      <c r="S279" s="40"/>
      <c r="T279" s="40"/>
      <c r="U279" s="43"/>
      <c r="V279" s="43"/>
      <c r="W279" s="43"/>
      <c r="X279" s="43"/>
      <c r="Y279" s="43"/>
    </row>
    <row r="280" spans="7:25" x14ac:dyDescent="0.35">
      <c r="G280" s="40"/>
      <c r="H280" s="40"/>
      <c r="I280" s="40"/>
      <c r="J280" s="40"/>
      <c r="K280" s="41"/>
      <c r="L280" s="40"/>
      <c r="M280" s="40"/>
      <c r="N280" s="40"/>
      <c r="O280" s="40"/>
      <c r="P280" s="40"/>
      <c r="Q280" s="40"/>
      <c r="R280" s="40"/>
      <c r="S280" s="40"/>
      <c r="T280" s="40"/>
      <c r="U280" s="43"/>
      <c r="V280" s="43"/>
      <c r="W280" s="43"/>
      <c r="X280" s="43"/>
      <c r="Y280" s="43"/>
    </row>
    <row r="281" spans="7:25" x14ac:dyDescent="0.35">
      <c r="G281" s="40"/>
      <c r="H281" s="40"/>
      <c r="I281" s="40"/>
      <c r="J281" s="40"/>
      <c r="K281" s="41"/>
      <c r="L281" s="40"/>
      <c r="M281" s="40"/>
      <c r="N281" s="40"/>
      <c r="O281" s="40"/>
      <c r="P281" s="40"/>
      <c r="Q281" s="40"/>
      <c r="R281" s="40"/>
      <c r="S281" s="40"/>
      <c r="T281" s="40"/>
      <c r="U281" s="43"/>
      <c r="V281" s="43"/>
      <c r="W281" s="43"/>
      <c r="X281" s="43"/>
      <c r="Y281" s="43"/>
    </row>
    <row r="282" spans="7:25" x14ac:dyDescent="0.35">
      <c r="G282" s="40"/>
      <c r="H282" s="40"/>
      <c r="I282" s="40"/>
      <c r="J282" s="40"/>
      <c r="K282" s="41"/>
      <c r="L282" s="40"/>
      <c r="M282" s="40"/>
      <c r="N282" s="40"/>
      <c r="O282" s="40"/>
      <c r="P282" s="40"/>
      <c r="Q282" s="40"/>
      <c r="R282" s="40"/>
      <c r="S282" s="40"/>
      <c r="T282" s="40"/>
      <c r="U282" s="43"/>
      <c r="V282" s="43"/>
      <c r="W282" s="43"/>
      <c r="X282" s="43"/>
      <c r="Y282" s="43"/>
    </row>
    <row r="283" spans="7:25" x14ac:dyDescent="0.35">
      <c r="G283" s="40"/>
      <c r="H283" s="40"/>
      <c r="I283" s="40"/>
      <c r="J283" s="40"/>
      <c r="K283" s="41"/>
      <c r="L283" s="40"/>
      <c r="M283" s="40"/>
      <c r="N283" s="40"/>
      <c r="O283" s="40"/>
      <c r="P283" s="40"/>
      <c r="Q283" s="40"/>
      <c r="R283" s="40"/>
      <c r="S283" s="40"/>
      <c r="T283" s="40"/>
      <c r="U283" s="43"/>
      <c r="V283" s="43"/>
      <c r="W283" s="43"/>
      <c r="X283" s="43"/>
      <c r="Y283" s="43"/>
    </row>
    <row r="284" spans="7:25" x14ac:dyDescent="0.35">
      <c r="G284" s="40"/>
      <c r="H284" s="40"/>
      <c r="I284" s="40"/>
      <c r="J284" s="40"/>
      <c r="K284" s="41"/>
      <c r="L284" s="40"/>
      <c r="M284" s="40"/>
      <c r="N284" s="40"/>
      <c r="O284" s="40"/>
      <c r="P284" s="40"/>
      <c r="Q284" s="40"/>
      <c r="R284" s="40"/>
      <c r="S284" s="40"/>
      <c r="T284" s="40"/>
      <c r="U284" s="43"/>
      <c r="V284" s="43"/>
      <c r="W284" s="43"/>
      <c r="X284" s="43"/>
      <c r="Y284" s="43"/>
    </row>
    <row r="285" spans="7:25" x14ac:dyDescent="0.35">
      <c r="G285" s="40"/>
      <c r="H285" s="40"/>
      <c r="I285" s="40"/>
      <c r="J285" s="40"/>
      <c r="K285" s="41"/>
      <c r="L285" s="40"/>
      <c r="M285" s="40"/>
      <c r="N285" s="40"/>
      <c r="O285" s="40"/>
      <c r="P285" s="40"/>
      <c r="Q285" s="40"/>
      <c r="R285" s="40"/>
      <c r="S285" s="40"/>
      <c r="T285" s="40"/>
      <c r="U285" s="43"/>
      <c r="V285" s="43"/>
      <c r="W285" s="43"/>
      <c r="X285" s="43"/>
      <c r="Y285" s="43"/>
    </row>
    <row r="286" spans="7:25" x14ac:dyDescent="0.35">
      <c r="G286" s="40"/>
      <c r="H286" s="40"/>
      <c r="I286" s="40"/>
      <c r="J286" s="40"/>
      <c r="K286" s="41"/>
      <c r="L286" s="40"/>
      <c r="M286" s="40"/>
      <c r="N286" s="40"/>
      <c r="O286" s="40"/>
      <c r="P286" s="40"/>
      <c r="Q286" s="40"/>
      <c r="R286" s="40"/>
      <c r="S286" s="40"/>
      <c r="T286" s="40"/>
      <c r="U286" s="43"/>
      <c r="V286" s="43"/>
      <c r="W286" s="43"/>
      <c r="X286" s="43"/>
      <c r="Y286" s="43"/>
    </row>
    <row r="287" spans="7:25" x14ac:dyDescent="0.35">
      <c r="G287" s="40"/>
      <c r="H287" s="40"/>
      <c r="I287" s="40"/>
      <c r="J287" s="40"/>
      <c r="K287" s="41"/>
      <c r="L287" s="40"/>
      <c r="M287" s="40"/>
      <c r="N287" s="40"/>
      <c r="O287" s="40"/>
      <c r="P287" s="40"/>
      <c r="Q287" s="40"/>
      <c r="R287" s="40"/>
      <c r="S287" s="40"/>
      <c r="T287" s="40"/>
      <c r="U287" s="43"/>
      <c r="V287" s="43"/>
      <c r="W287" s="43"/>
      <c r="X287" s="43"/>
      <c r="Y287" s="43"/>
    </row>
    <row r="288" spans="7:25" x14ac:dyDescent="0.35">
      <c r="G288" s="40"/>
      <c r="H288" s="40"/>
      <c r="I288" s="40"/>
      <c r="J288" s="40"/>
      <c r="K288" s="41"/>
      <c r="L288" s="40"/>
      <c r="M288" s="40"/>
      <c r="N288" s="40"/>
      <c r="O288" s="40"/>
      <c r="P288" s="40"/>
      <c r="Q288" s="40"/>
      <c r="R288" s="40"/>
      <c r="S288" s="40"/>
      <c r="T288" s="40"/>
      <c r="U288" s="43"/>
      <c r="V288" s="43"/>
      <c r="W288" s="43"/>
      <c r="X288" s="43"/>
      <c r="Y288" s="43"/>
    </row>
    <row r="289" spans="7:25" x14ac:dyDescent="0.35">
      <c r="G289" s="40"/>
      <c r="H289" s="40"/>
      <c r="I289" s="40"/>
      <c r="J289" s="40"/>
      <c r="K289" s="41"/>
      <c r="L289" s="40"/>
      <c r="M289" s="40"/>
      <c r="N289" s="40"/>
      <c r="O289" s="40"/>
      <c r="P289" s="40"/>
      <c r="Q289" s="40"/>
      <c r="R289" s="40"/>
      <c r="S289" s="40"/>
      <c r="T289" s="40"/>
      <c r="U289" s="43"/>
      <c r="V289" s="43"/>
      <c r="W289" s="43"/>
      <c r="X289" s="43"/>
      <c r="Y289" s="43"/>
    </row>
    <row r="290" spans="7:25" x14ac:dyDescent="0.35">
      <c r="G290" s="40"/>
      <c r="H290" s="40"/>
      <c r="I290" s="40"/>
      <c r="J290" s="40"/>
      <c r="K290" s="41"/>
      <c r="L290" s="40"/>
      <c r="M290" s="40"/>
      <c r="N290" s="40"/>
      <c r="O290" s="40"/>
      <c r="P290" s="40"/>
      <c r="Q290" s="40"/>
      <c r="R290" s="40"/>
      <c r="S290" s="40"/>
      <c r="T290" s="40"/>
      <c r="U290" s="43"/>
      <c r="V290" s="43"/>
      <c r="W290" s="43"/>
      <c r="X290" s="43"/>
      <c r="Y290" s="43"/>
    </row>
    <row r="291" spans="7:25" x14ac:dyDescent="0.35">
      <c r="G291" s="40"/>
      <c r="H291" s="40"/>
      <c r="I291" s="40"/>
      <c r="J291" s="40"/>
      <c r="K291" s="41"/>
      <c r="L291" s="40"/>
      <c r="M291" s="40"/>
      <c r="N291" s="40"/>
      <c r="O291" s="40"/>
      <c r="P291" s="40"/>
      <c r="Q291" s="40"/>
      <c r="R291" s="40"/>
      <c r="S291" s="40"/>
      <c r="T291" s="40"/>
      <c r="U291" s="43"/>
      <c r="V291" s="43"/>
      <c r="W291" s="43"/>
      <c r="X291" s="43"/>
      <c r="Y291" s="43"/>
    </row>
    <row r="292" spans="7:25" x14ac:dyDescent="0.35">
      <c r="G292" s="40"/>
      <c r="H292" s="40"/>
      <c r="I292" s="40"/>
      <c r="J292" s="40"/>
      <c r="K292" s="41"/>
      <c r="L292" s="40"/>
      <c r="M292" s="40"/>
      <c r="N292" s="40"/>
      <c r="O292" s="40"/>
      <c r="P292" s="40"/>
      <c r="Q292" s="40"/>
      <c r="R292" s="40"/>
      <c r="S292" s="40"/>
      <c r="T292" s="40"/>
      <c r="U292" s="43"/>
      <c r="V292" s="43"/>
      <c r="W292" s="43"/>
      <c r="X292" s="43"/>
      <c r="Y292" s="43"/>
    </row>
    <row r="293" spans="7:25" x14ac:dyDescent="0.35">
      <c r="G293" s="40"/>
      <c r="H293" s="40"/>
      <c r="I293" s="40"/>
      <c r="J293" s="40"/>
      <c r="K293" s="41"/>
      <c r="L293" s="40"/>
      <c r="M293" s="40"/>
      <c r="N293" s="40"/>
      <c r="O293" s="40"/>
      <c r="P293" s="40"/>
      <c r="Q293" s="40"/>
      <c r="R293" s="40"/>
      <c r="S293" s="40"/>
      <c r="T293" s="40"/>
      <c r="U293" s="43"/>
      <c r="V293" s="43"/>
      <c r="W293" s="43"/>
      <c r="X293" s="43"/>
      <c r="Y293" s="43"/>
    </row>
    <row r="294" spans="7:25" x14ac:dyDescent="0.35">
      <c r="G294" s="40"/>
      <c r="H294" s="40"/>
      <c r="I294" s="40"/>
      <c r="J294" s="40"/>
      <c r="K294" s="41"/>
      <c r="L294" s="40"/>
      <c r="M294" s="40"/>
      <c r="N294" s="40"/>
      <c r="O294" s="40"/>
      <c r="P294" s="40"/>
      <c r="Q294" s="40"/>
      <c r="R294" s="40"/>
      <c r="S294" s="40"/>
      <c r="T294" s="40"/>
      <c r="U294" s="43"/>
      <c r="V294" s="43"/>
      <c r="W294" s="43"/>
      <c r="X294" s="43"/>
      <c r="Y294" s="43"/>
    </row>
    <row r="295" spans="7:25" x14ac:dyDescent="0.35">
      <c r="G295" s="40"/>
      <c r="H295" s="40"/>
      <c r="I295" s="40"/>
      <c r="J295" s="40"/>
      <c r="K295" s="41"/>
      <c r="L295" s="40"/>
      <c r="M295" s="40"/>
      <c r="N295" s="40"/>
      <c r="O295" s="40"/>
      <c r="P295" s="40"/>
      <c r="Q295" s="40"/>
      <c r="R295" s="40"/>
      <c r="S295" s="40"/>
      <c r="T295" s="40"/>
      <c r="U295" s="43"/>
      <c r="V295" s="43"/>
      <c r="W295" s="43"/>
      <c r="X295" s="43"/>
      <c r="Y295" s="43"/>
    </row>
    <row r="296" spans="7:25" x14ac:dyDescent="0.35">
      <c r="G296" s="40"/>
      <c r="H296" s="40"/>
      <c r="I296" s="40"/>
      <c r="J296" s="40"/>
      <c r="K296" s="41"/>
      <c r="L296" s="40"/>
      <c r="M296" s="40"/>
      <c r="N296" s="40"/>
      <c r="O296" s="40"/>
      <c r="P296" s="40"/>
      <c r="Q296" s="40"/>
      <c r="R296" s="40"/>
      <c r="S296" s="40"/>
      <c r="T296" s="40"/>
      <c r="U296" s="43"/>
      <c r="V296" s="43"/>
      <c r="W296" s="43"/>
      <c r="X296" s="43"/>
      <c r="Y296" s="43"/>
    </row>
    <row r="297" spans="7:25" x14ac:dyDescent="0.35">
      <c r="G297" s="40"/>
      <c r="H297" s="40"/>
      <c r="I297" s="40"/>
      <c r="J297" s="40"/>
      <c r="K297" s="41"/>
      <c r="L297" s="40"/>
      <c r="M297" s="40"/>
      <c r="N297" s="40"/>
      <c r="O297" s="40"/>
      <c r="P297" s="40"/>
      <c r="Q297" s="40"/>
      <c r="R297" s="40"/>
      <c r="S297" s="40"/>
      <c r="T297" s="40"/>
      <c r="U297" s="43"/>
      <c r="V297" s="43"/>
      <c r="W297" s="43"/>
      <c r="X297" s="43"/>
      <c r="Y297" s="43"/>
    </row>
    <row r="298" spans="7:25" x14ac:dyDescent="0.35">
      <c r="G298" s="40"/>
      <c r="H298" s="40"/>
      <c r="I298" s="40"/>
      <c r="J298" s="40"/>
      <c r="K298" s="41"/>
      <c r="L298" s="40"/>
      <c r="M298" s="40"/>
      <c r="N298" s="40"/>
      <c r="O298" s="40"/>
      <c r="P298" s="40"/>
      <c r="Q298" s="40"/>
      <c r="R298" s="40"/>
      <c r="S298" s="40"/>
      <c r="T298" s="40"/>
      <c r="U298" s="43"/>
      <c r="V298" s="43"/>
      <c r="W298" s="43"/>
      <c r="X298" s="43"/>
      <c r="Y298" s="43"/>
    </row>
    <row r="299" spans="7:25" x14ac:dyDescent="0.35">
      <c r="G299" s="40"/>
      <c r="H299" s="40"/>
      <c r="I299" s="40"/>
      <c r="J299" s="40"/>
      <c r="K299" s="41"/>
      <c r="L299" s="40"/>
      <c r="M299" s="40"/>
      <c r="N299" s="40"/>
      <c r="O299" s="40"/>
      <c r="P299" s="40"/>
      <c r="Q299" s="40"/>
      <c r="R299" s="40"/>
      <c r="S299" s="40"/>
      <c r="T299" s="40"/>
      <c r="U299" s="43"/>
      <c r="V299" s="43"/>
      <c r="W299" s="43"/>
      <c r="X299" s="43"/>
      <c r="Y299" s="43"/>
    </row>
    <row r="300" spans="7:25" x14ac:dyDescent="0.35">
      <c r="G300" s="40"/>
      <c r="H300" s="40"/>
      <c r="I300" s="40"/>
      <c r="J300" s="40"/>
      <c r="K300" s="41"/>
      <c r="L300" s="40"/>
      <c r="M300" s="40"/>
      <c r="N300" s="40"/>
      <c r="O300" s="40"/>
      <c r="P300" s="40"/>
      <c r="Q300" s="40"/>
      <c r="R300" s="40"/>
      <c r="S300" s="40"/>
      <c r="T300" s="40"/>
      <c r="U300" s="43"/>
      <c r="V300" s="43"/>
      <c r="W300" s="43"/>
      <c r="X300" s="43"/>
      <c r="Y300" s="43"/>
    </row>
  </sheetData>
  <mergeCells count="3">
    <mergeCell ref="L4:P4"/>
    <mergeCell ref="B25:C26"/>
    <mergeCell ref="K134:R134"/>
  </mergeCells>
  <dataValidations disablePrompts="1" count="1">
    <dataValidation type="list" allowBlank="1" showInputMessage="1" showErrorMessage="1" sqref="C5" xr:uid="{90065E99-8878-4026-AA6D-DA6100DC63AE}">
      <formula1>$B$55:$B$56</formula1>
    </dataValidation>
  </dataValidations>
  <pageMargins left="0.7" right="0.7" top="0.75" bottom="0.75" header="0.3" footer="0.3"/>
  <pageSetup paperSize="8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06CBB-5E78-4937-851E-75A5E8B60ACF}">
  <sheetPr codeName="Hoja5"/>
  <dimension ref="B4:S66"/>
  <sheetViews>
    <sheetView topLeftCell="A49" workbookViewId="0">
      <selection activeCell="G63" sqref="G63:J66"/>
    </sheetView>
  </sheetViews>
  <sheetFormatPr baseColWidth="10" defaultColWidth="11.453125" defaultRowHeight="14.5" x14ac:dyDescent="0.35"/>
  <cols>
    <col min="2" max="3" width="21.26953125" bestFit="1" customWidth="1"/>
    <col min="17" max="17" width="22.453125" bestFit="1" customWidth="1"/>
  </cols>
  <sheetData>
    <row r="4" spans="2:19" x14ac:dyDescent="0.35">
      <c r="B4" t="s">
        <v>125</v>
      </c>
      <c r="C4" t="s">
        <v>125</v>
      </c>
      <c r="D4" t="s">
        <v>126</v>
      </c>
      <c r="G4" t="s">
        <v>127</v>
      </c>
      <c r="H4" t="s">
        <v>128</v>
      </c>
      <c r="J4" t="s">
        <v>129</v>
      </c>
    </row>
    <row r="5" spans="2:19" x14ac:dyDescent="0.35">
      <c r="B5" t="s">
        <v>126</v>
      </c>
      <c r="C5" t="s">
        <v>52</v>
      </c>
      <c r="G5">
        <v>1</v>
      </c>
      <c r="H5">
        <v>73</v>
      </c>
      <c r="J5">
        <v>34</v>
      </c>
    </row>
    <row r="6" spans="2:19" x14ac:dyDescent="0.35">
      <c r="C6" t="s">
        <v>126</v>
      </c>
      <c r="G6">
        <v>2</v>
      </c>
      <c r="H6">
        <v>73</v>
      </c>
      <c r="J6">
        <v>34</v>
      </c>
      <c r="P6" t="str">
        <f>+Q6&amp;R6</f>
        <v>SOLESFÍSICO - CON PLANILLA</v>
      </c>
      <c r="Q6" t="s">
        <v>36</v>
      </c>
      <c r="R6" t="s">
        <v>130</v>
      </c>
      <c r="S6">
        <v>4</v>
      </c>
    </row>
    <row r="7" spans="2:19" x14ac:dyDescent="0.35">
      <c r="G7">
        <v>3</v>
      </c>
      <c r="H7">
        <v>73</v>
      </c>
      <c r="J7">
        <v>34</v>
      </c>
      <c r="P7" t="str">
        <f t="shared" ref="P7:P11" si="0">+Q7&amp;R7</f>
        <v>SOLESFÍSICO - SIN PLANILLA</v>
      </c>
      <c r="Q7" t="s">
        <v>36</v>
      </c>
      <c r="R7" t="s">
        <v>131</v>
      </c>
      <c r="S7">
        <v>10</v>
      </c>
    </row>
    <row r="8" spans="2:19" x14ac:dyDescent="0.35">
      <c r="G8">
        <v>4</v>
      </c>
      <c r="H8">
        <v>73</v>
      </c>
      <c r="J8">
        <v>34</v>
      </c>
      <c r="P8" t="str">
        <f t="shared" si="0"/>
        <v>SOLESVIRTUAL</v>
      </c>
      <c r="Q8" t="s">
        <v>36</v>
      </c>
      <c r="R8" t="s">
        <v>61</v>
      </c>
      <c r="S8">
        <v>0</v>
      </c>
    </row>
    <row r="9" spans="2:19" x14ac:dyDescent="0.35">
      <c r="C9" t="s">
        <v>132</v>
      </c>
      <c r="G9">
        <v>5</v>
      </c>
      <c r="H9">
        <v>73</v>
      </c>
      <c r="J9">
        <v>34</v>
      </c>
      <c r="P9" t="str">
        <f t="shared" si="0"/>
        <v>DÓLARESFÍSICO - CON PLANILLA</v>
      </c>
      <c r="Q9" t="s">
        <v>133</v>
      </c>
      <c r="R9" t="s">
        <v>130</v>
      </c>
      <c r="S9">
        <v>1.5</v>
      </c>
    </row>
    <row r="10" spans="2:19" x14ac:dyDescent="0.35">
      <c r="C10" t="s">
        <v>56</v>
      </c>
      <c r="G10">
        <v>6</v>
      </c>
      <c r="H10">
        <v>73</v>
      </c>
      <c r="J10">
        <v>34</v>
      </c>
      <c r="P10" t="str">
        <f t="shared" si="0"/>
        <v>DÓLARESFÍSICO - SIN PLANILLA</v>
      </c>
      <c r="Q10" t="s">
        <v>133</v>
      </c>
      <c r="R10" t="s">
        <v>131</v>
      </c>
      <c r="S10">
        <v>3.5</v>
      </c>
    </row>
    <row r="11" spans="2:19" x14ac:dyDescent="0.35">
      <c r="G11">
        <v>7</v>
      </c>
      <c r="H11">
        <v>110</v>
      </c>
      <c r="J11">
        <v>51</v>
      </c>
      <c r="P11" t="str">
        <f t="shared" si="0"/>
        <v>DÓLARESVIRTUAL</v>
      </c>
      <c r="Q11" t="s">
        <v>133</v>
      </c>
      <c r="R11" t="s">
        <v>61</v>
      </c>
      <c r="S11">
        <v>0</v>
      </c>
    </row>
    <row r="12" spans="2:19" x14ac:dyDescent="0.35">
      <c r="G12">
        <v>8</v>
      </c>
      <c r="H12">
        <v>110</v>
      </c>
      <c r="J12">
        <v>51</v>
      </c>
    </row>
    <row r="13" spans="2:19" x14ac:dyDescent="0.35">
      <c r="G13">
        <v>9</v>
      </c>
      <c r="H13">
        <v>110</v>
      </c>
      <c r="J13">
        <v>51</v>
      </c>
    </row>
    <row r="14" spans="2:19" x14ac:dyDescent="0.35">
      <c r="C14" t="s">
        <v>130</v>
      </c>
      <c r="G14">
        <v>10</v>
      </c>
      <c r="H14">
        <v>145</v>
      </c>
      <c r="I14">
        <v>145</v>
      </c>
      <c r="J14">
        <v>68</v>
      </c>
    </row>
    <row r="15" spans="2:19" x14ac:dyDescent="0.35">
      <c r="C15" t="s">
        <v>131</v>
      </c>
      <c r="G15">
        <v>11</v>
      </c>
      <c r="H15">
        <v>145</v>
      </c>
      <c r="I15">
        <v>185</v>
      </c>
      <c r="J15">
        <v>68</v>
      </c>
    </row>
    <row r="16" spans="2:19" x14ac:dyDescent="0.35">
      <c r="C16" t="s">
        <v>61</v>
      </c>
      <c r="G16">
        <v>12</v>
      </c>
      <c r="H16">
        <v>145</v>
      </c>
      <c r="I16">
        <v>252</v>
      </c>
      <c r="J16">
        <v>68</v>
      </c>
    </row>
    <row r="17" spans="3:18" x14ac:dyDescent="0.35">
      <c r="G17">
        <v>13</v>
      </c>
      <c r="H17">
        <v>185</v>
      </c>
      <c r="I17">
        <v>369</v>
      </c>
      <c r="J17">
        <v>88</v>
      </c>
    </row>
    <row r="18" spans="3:18" x14ac:dyDescent="0.35">
      <c r="G18">
        <v>14</v>
      </c>
      <c r="H18">
        <v>185</v>
      </c>
      <c r="I18">
        <v>454</v>
      </c>
      <c r="J18">
        <v>88</v>
      </c>
    </row>
    <row r="19" spans="3:18" x14ac:dyDescent="0.35">
      <c r="C19">
        <v>0</v>
      </c>
      <c r="G19">
        <v>15</v>
      </c>
      <c r="H19">
        <v>185</v>
      </c>
      <c r="I19">
        <v>577</v>
      </c>
      <c r="J19">
        <v>88</v>
      </c>
    </row>
    <row r="20" spans="3:18" x14ac:dyDescent="0.35">
      <c r="C20">
        <v>1</v>
      </c>
      <c r="G20">
        <v>16</v>
      </c>
      <c r="H20">
        <v>185</v>
      </c>
      <c r="J20">
        <v>88</v>
      </c>
    </row>
    <row r="21" spans="3:18" x14ac:dyDescent="0.35">
      <c r="C21">
        <v>2</v>
      </c>
      <c r="G21">
        <v>17</v>
      </c>
      <c r="H21">
        <v>185</v>
      </c>
      <c r="J21">
        <v>88</v>
      </c>
    </row>
    <row r="22" spans="3:18" x14ac:dyDescent="0.35">
      <c r="G22">
        <v>18</v>
      </c>
      <c r="H22">
        <v>185</v>
      </c>
      <c r="J22">
        <v>88</v>
      </c>
    </row>
    <row r="23" spans="3:18" x14ac:dyDescent="0.35">
      <c r="C23">
        <v>2</v>
      </c>
      <c r="G23">
        <v>19</v>
      </c>
      <c r="H23">
        <v>252</v>
      </c>
      <c r="J23">
        <v>120</v>
      </c>
    </row>
    <row r="24" spans="3:18" x14ac:dyDescent="0.35">
      <c r="C24">
        <v>17</v>
      </c>
      <c r="G24">
        <v>20</v>
      </c>
      <c r="H24">
        <v>252</v>
      </c>
      <c r="J24">
        <v>120</v>
      </c>
    </row>
    <row r="25" spans="3:18" x14ac:dyDescent="0.35">
      <c r="G25">
        <v>21</v>
      </c>
      <c r="H25">
        <v>252</v>
      </c>
      <c r="J25">
        <v>120</v>
      </c>
    </row>
    <row r="26" spans="3:18" x14ac:dyDescent="0.35">
      <c r="G26">
        <v>22</v>
      </c>
      <c r="H26">
        <v>252</v>
      </c>
      <c r="J26">
        <v>120</v>
      </c>
      <c r="Q26">
        <v>577</v>
      </c>
    </row>
    <row r="27" spans="3:18" x14ac:dyDescent="0.35">
      <c r="C27" t="s">
        <v>36</v>
      </c>
      <c r="G27">
        <v>23</v>
      </c>
      <c r="H27">
        <v>252</v>
      </c>
      <c r="J27">
        <v>120</v>
      </c>
      <c r="Q27">
        <v>236</v>
      </c>
      <c r="R27">
        <f>+Q26/Q27</f>
        <v>2.4449152542372881</v>
      </c>
    </row>
    <row r="28" spans="3:18" x14ac:dyDescent="0.35">
      <c r="C28" t="s">
        <v>133</v>
      </c>
      <c r="G28">
        <v>24</v>
      </c>
      <c r="H28">
        <v>252</v>
      </c>
      <c r="J28">
        <v>120</v>
      </c>
      <c r="Q28">
        <f>+Q26/3.75</f>
        <v>153.86666666666667</v>
      </c>
    </row>
    <row r="29" spans="3:18" x14ac:dyDescent="0.35">
      <c r="G29">
        <v>25</v>
      </c>
      <c r="H29">
        <v>369</v>
      </c>
      <c r="J29">
        <v>186</v>
      </c>
    </row>
    <row r="30" spans="3:18" x14ac:dyDescent="0.35">
      <c r="G30">
        <v>26</v>
      </c>
      <c r="H30">
        <v>369</v>
      </c>
      <c r="J30">
        <v>186</v>
      </c>
    </row>
    <row r="31" spans="3:18" x14ac:dyDescent="0.35">
      <c r="G31">
        <v>27</v>
      </c>
      <c r="H31">
        <v>369</v>
      </c>
      <c r="J31">
        <v>186</v>
      </c>
    </row>
    <row r="32" spans="3:18" x14ac:dyDescent="0.35">
      <c r="C32" t="s">
        <v>134</v>
      </c>
      <c r="G32">
        <v>28</v>
      </c>
      <c r="H32">
        <v>369</v>
      </c>
      <c r="J32">
        <v>186</v>
      </c>
    </row>
    <row r="33" spans="3:10" x14ac:dyDescent="0.35">
      <c r="C33" t="s">
        <v>47</v>
      </c>
      <c r="G33">
        <v>29</v>
      </c>
      <c r="H33">
        <v>369</v>
      </c>
      <c r="J33">
        <v>186</v>
      </c>
    </row>
    <row r="34" spans="3:10" x14ac:dyDescent="0.35">
      <c r="G34">
        <v>30</v>
      </c>
      <c r="H34">
        <v>369</v>
      </c>
      <c r="J34">
        <v>186</v>
      </c>
    </row>
    <row r="35" spans="3:10" x14ac:dyDescent="0.35">
      <c r="G35">
        <v>31</v>
      </c>
      <c r="H35">
        <v>369</v>
      </c>
      <c r="J35">
        <v>186</v>
      </c>
    </row>
    <row r="36" spans="3:10" x14ac:dyDescent="0.35">
      <c r="G36">
        <v>32</v>
      </c>
      <c r="H36">
        <v>369</v>
      </c>
      <c r="J36">
        <v>186</v>
      </c>
    </row>
    <row r="37" spans="3:10" x14ac:dyDescent="0.35">
      <c r="G37">
        <v>33</v>
      </c>
      <c r="H37">
        <v>369</v>
      </c>
      <c r="J37">
        <v>186</v>
      </c>
    </row>
    <row r="38" spans="3:10" x14ac:dyDescent="0.35">
      <c r="G38">
        <v>34</v>
      </c>
      <c r="H38">
        <v>369</v>
      </c>
      <c r="J38">
        <v>186</v>
      </c>
    </row>
    <row r="39" spans="3:10" x14ac:dyDescent="0.35">
      <c r="G39">
        <v>35</v>
      </c>
      <c r="H39">
        <v>369</v>
      </c>
      <c r="J39">
        <v>186</v>
      </c>
    </row>
    <row r="40" spans="3:10" x14ac:dyDescent="0.35">
      <c r="G40">
        <v>36</v>
      </c>
      <c r="H40">
        <v>369</v>
      </c>
      <c r="J40">
        <v>186</v>
      </c>
    </row>
    <row r="41" spans="3:10" x14ac:dyDescent="0.35">
      <c r="G41">
        <v>37</v>
      </c>
      <c r="H41">
        <v>454</v>
      </c>
      <c r="J41">
        <v>186</v>
      </c>
    </row>
    <row r="42" spans="3:10" x14ac:dyDescent="0.35">
      <c r="G42">
        <v>38</v>
      </c>
      <c r="H42">
        <v>454</v>
      </c>
      <c r="J42">
        <v>186</v>
      </c>
    </row>
    <row r="43" spans="3:10" x14ac:dyDescent="0.35">
      <c r="G43">
        <v>39</v>
      </c>
      <c r="H43">
        <v>454</v>
      </c>
      <c r="J43">
        <v>186</v>
      </c>
    </row>
    <row r="44" spans="3:10" x14ac:dyDescent="0.35">
      <c r="G44">
        <v>40</v>
      </c>
      <c r="H44">
        <v>454</v>
      </c>
      <c r="J44">
        <v>186</v>
      </c>
    </row>
    <row r="45" spans="3:10" x14ac:dyDescent="0.35">
      <c r="G45">
        <v>41</v>
      </c>
      <c r="H45">
        <v>454</v>
      </c>
      <c r="J45">
        <v>186</v>
      </c>
    </row>
    <row r="46" spans="3:10" x14ac:dyDescent="0.35">
      <c r="G46">
        <v>42</v>
      </c>
      <c r="H46">
        <v>454</v>
      </c>
      <c r="J46">
        <v>186</v>
      </c>
    </row>
    <row r="47" spans="3:10" x14ac:dyDescent="0.35">
      <c r="G47">
        <v>43</v>
      </c>
      <c r="H47">
        <v>454</v>
      </c>
      <c r="J47">
        <v>186</v>
      </c>
    </row>
    <row r="48" spans="3:10" x14ac:dyDescent="0.35">
      <c r="G48">
        <v>44</v>
      </c>
      <c r="H48">
        <v>454</v>
      </c>
      <c r="J48">
        <v>186</v>
      </c>
    </row>
    <row r="49" spans="2:10" x14ac:dyDescent="0.35">
      <c r="G49">
        <v>45</v>
      </c>
      <c r="H49">
        <v>454</v>
      </c>
      <c r="J49">
        <v>186</v>
      </c>
    </row>
    <row r="50" spans="2:10" x14ac:dyDescent="0.35">
      <c r="G50">
        <v>46</v>
      </c>
      <c r="H50">
        <v>454</v>
      </c>
      <c r="J50">
        <v>186</v>
      </c>
    </row>
    <row r="51" spans="2:10" x14ac:dyDescent="0.35">
      <c r="B51" t="str" cm="1">
        <f t="array" ref="B51:B53">+IF('Simulador DATOS'!$C$42&gt;300000,LEYENDA!$D$4,IF(SIMULADOR_!$G$15&gt;23,LEYENDA!$C$4:$C$6,LEYENDA!$B$4:$B$5))</f>
        <v>SIN DEVOLUC.</v>
      </c>
      <c r="G51">
        <v>47</v>
      </c>
      <c r="H51">
        <v>454</v>
      </c>
      <c r="J51">
        <v>186</v>
      </c>
    </row>
    <row r="52" spans="2:10" x14ac:dyDescent="0.35">
      <c r="B52" t="str">
        <v>CON DEVOLUC.</v>
      </c>
      <c r="G52">
        <v>48</v>
      </c>
      <c r="H52">
        <v>454</v>
      </c>
      <c r="J52">
        <v>186</v>
      </c>
    </row>
    <row r="53" spans="2:10" x14ac:dyDescent="0.35">
      <c r="B53" t="str">
        <v>SIN SEGURO (ENDOSO)</v>
      </c>
      <c r="G53">
        <v>49</v>
      </c>
      <c r="H53">
        <v>577</v>
      </c>
      <c r="J53">
        <v>236</v>
      </c>
    </row>
    <row r="54" spans="2:10" x14ac:dyDescent="0.35">
      <c r="G54">
        <v>50</v>
      </c>
      <c r="H54">
        <v>577</v>
      </c>
      <c r="J54">
        <v>236</v>
      </c>
    </row>
    <row r="55" spans="2:10" x14ac:dyDescent="0.35">
      <c r="G55">
        <v>51</v>
      </c>
      <c r="H55">
        <v>577</v>
      </c>
      <c r="J55">
        <v>236</v>
      </c>
    </row>
    <row r="56" spans="2:10" x14ac:dyDescent="0.35">
      <c r="G56">
        <v>52</v>
      </c>
      <c r="H56">
        <v>577</v>
      </c>
      <c r="J56">
        <v>236</v>
      </c>
    </row>
    <row r="57" spans="2:10" x14ac:dyDescent="0.35">
      <c r="G57">
        <v>53</v>
      </c>
      <c r="H57">
        <v>577</v>
      </c>
      <c r="J57">
        <v>236</v>
      </c>
    </row>
    <row r="58" spans="2:10" x14ac:dyDescent="0.35">
      <c r="G58">
        <v>54</v>
      </c>
      <c r="H58">
        <v>577</v>
      </c>
      <c r="J58">
        <v>236</v>
      </c>
    </row>
    <row r="59" spans="2:10" x14ac:dyDescent="0.35">
      <c r="G59">
        <v>55</v>
      </c>
      <c r="H59">
        <v>577</v>
      </c>
      <c r="J59">
        <v>236</v>
      </c>
    </row>
    <row r="60" spans="2:10" x14ac:dyDescent="0.35">
      <c r="G60">
        <v>56</v>
      </c>
      <c r="H60">
        <v>577</v>
      </c>
      <c r="J60">
        <v>236</v>
      </c>
    </row>
    <row r="61" spans="2:10" x14ac:dyDescent="0.35">
      <c r="G61">
        <v>57</v>
      </c>
      <c r="H61">
        <v>577</v>
      </c>
      <c r="J61">
        <v>236</v>
      </c>
    </row>
    <row r="62" spans="2:10" x14ac:dyDescent="0.35">
      <c r="G62">
        <v>58</v>
      </c>
      <c r="H62">
        <v>577</v>
      </c>
      <c r="J62">
        <v>236</v>
      </c>
    </row>
    <row r="63" spans="2:10" x14ac:dyDescent="0.35">
      <c r="G63">
        <v>59</v>
      </c>
      <c r="H63">
        <v>577</v>
      </c>
      <c r="J63">
        <v>236</v>
      </c>
    </row>
    <row r="64" spans="2:10" x14ac:dyDescent="0.35">
      <c r="G64">
        <v>60</v>
      </c>
      <c r="H64">
        <v>577</v>
      </c>
      <c r="J64">
        <v>236</v>
      </c>
    </row>
    <row r="65" spans="7:10" x14ac:dyDescent="0.35">
      <c r="G65">
        <v>61</v>
      </c>
      <c r="H65">
        <v>577</v>
      </c>
      <c r="J65">
        <v>236</v>
      </c>
    </row>
    <row r="66" spans="7:10" x14ac:dyDescent="0.35">
      <c r="G66">
        <v>62</v>
      </c>
      <c r="H66">
        <v>577</v>
      </c>
      <c r="J66">
        <v>236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EECEB618C92F741B88640A76E4B50C4" ma:contentTypeVersion="3" ma:contentTypeDescription="Create a new document." ma:contentTypeScope="" ma:versionID="8c4fe7e6d95a35bd5216f73054d4ae73">
  <xsd:schema xmlns:xsd="http://www.w3.org/2001/XMLSchema" xmlns:xs="http://www.w3.org/2001/XMLSchema" xmlns:p="http://schemas.microsoft.com/office/2006/metadata/properties" xmlns:ns2="ce241a42-e4e6-414e-a3c1-192fe6e213a6" targetNamespace="http://schemas.microsoft.com/office/2006/metadata/properties" ma:root="true" ma:fieldsID="f3d46e7b4b61c937efef019b02220e0f" ns2:_="">
    <xsd:import namespace="ce241a42-e4e6-414e-a3c1-192fe6e213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241a42-e4e6-414e-a3c1-192fe6e213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0E1EF40-5834-4400-B074-7E911707A9A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26EE185-9C6F-4DFE-A41B-A9E7420204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241a42-e4e6-414e-a3c1-192fe6e213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AA90D99-D31F-4746-92CF-31421FC894AD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Simulador</vt:lpstr>
      <vt:lpstr>SIMULADOR_</vt:lpstr>
      <vt:lpstr>Hoja1</vt:lpstr>
      <vt:lpstr>COMPARATIVO SEGURO</vt:lpstr>
      <vt:lpstr>Simulador DATOS</vt:lpstr>
      <vt:lpstr>LEYENDA</vt:lpstr>
      <vt:lpstr>'Simulador DATOS'!Área_de_impresión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Luque Tamayo, Rodrigo</dc:creator>
  <cp:keywords/>
  <dc:description/>
  <cp:lastModifiedBy>Chavez Pacheco, Giomar</cp:lastModifiedBy>
  <cp:revision/>
  <dcterms:created xsi:type="dcterms:W3CDTF">2024-10-21T21:25:01Z</dcterms:created>
  <dcterms:modified xsi:type="dcterms:W3CDTF">2026-06-30T15:52:18Z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5bedeb1-b3ac-45db-91f7-453e06cfe2b0_Enabled">
    <vt:lpwstr>True</vt:lpwstr>
  </property>
  <property fmtid="{D5CDD505-2E9C-101B-9397-08002B2CF9AE}" pid="3" name="MSIP_Label_d5bedeb1-b3ac-45db-91f7-453e06cfe2b0_SiteId">
    <vt:lpwstr>360bc517-7aac-4c17-9907-4c5f13a12289</vt:lpwstr>
  </property>
  <property fmtid="{D5CDD505-2E9C-101B-9397-08002B2CF9AE}" pid="4" name="MSIP_Label_d5bedeb1-b3ac-45db-91f7-453e06cfe2b0_SetDate">
    <vt:lpwstr>2026-06-17T17:18:37Z</vt:lpwstr>
  </property>
  <property fmtid="{D5CDD505-2E9C-101B-9397-08002B2CF9AE}" pid="5" name="MSIP_Label_d5bedeb1-b3ac-45db-91f7-453e06cfe2b0_Name">
    <vt:lpwstr>Confidencial</vt:lpwstr>
  </property>
  <property fmtid="{D5CDD505-2E9C-101B-9397-08002B2CF9AE}" pid="6" name="MSIP_Label_d5bedeb1-b3ac-45db-91f7-453e06cfe2b0_ActionId">
    <vt:lpwstr>602bd11c-16c7-4716-8b53-8b85e26dc779</vt:lpwstr>
  </property>
  <property fmtid="{D5CDD505-2E9C-101B-9397-08002B2CF9AE}" pid="7" name="MSIP_Label_d5bedeb1-b3ac-45db-91f7-453e06cfe2b0_Removed">
    <vt:lpwstr>False</vt:lpwstr>
  </property>
  <property fmtid="{D5CDD505-2E9C-101B-9397-08002B2CF9AE}" pid="8" name="MSIP_Label_d5bedeb1-b3ac-45db-91f7-453e06cfe2b0_Parent">
    <vt:lpwstr/>
  </property>
  <property fmtid="{D5CDD505-2E9C-101B-9397-08002B2CF9AE}" pid="9" name="MSIP_Label_d5bedeb1-b3ac-45db-91f7-453e06cfe2b0_Extended_MSFT_Method">
    <vt:lpwstr>Standard</vt:lpwstr>
  </property>
  <property fmtid="{D5CDD505-2E9C-101B-9397-08002B2CF9AE}" pid="10" name="Sensitivity">
    <vt:lpwstr>Confidencial</vt:lpwstr>
  </property>
  <property fmtid="{D5CDD505-2E9C-101B-9397-08002B2CF9AE}" pid="11" name="ContentTypeId">
    <vt:lpwstr>0x010100DEECEB618C92F741B88640A76E4B50C4</vt:lpwstr>
  </property>
  <property fmtid="{D5CDD505-2E9C-101B-9397-08002B2CF9AE}" pid="12" name="KriptosClassAi">
    <vt:lpwstr>2-Confidencial</vt:lpwstr>
  </property>
</Properties>
</file>