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grupoib.local\dfs3\OPT_PROYGTP\Change The Bank\GTP Proy 2018\1. Proy. en Proceso\4. Pedidos\PED-010 Jubilados\Distribución\"/>
    </mc:Choice>
  </mc:AlternateContent>
  <bookViews>
    <workbookView xWindow="0" yWindow="0" windowWidth="20490" windowHeight="7155" activeTab="1"/>
  </bookViews>
  <sheets>
    <sheet name="Solicitud de Apertura" sheetId="2" r:id="rId1"/>
    <sheet name="Individual Final Imprimir" sheetId="5" r:id="rId2"/>
    <sheet name="Mancomunado Final Imprimir" sheetId="3" r:id="rId3"/>
    <sheet name="Individual Números a Letras" sheetId="4" state="hidden" r:id="rId4"/>
    <sheet name="Mancomunado Números a Letras" sheetId="6" state="hidden" r:id="rId5"/>
    <sheet name="Tasas" sheetId="1" state="hidden" r:id="rId6"/>
  </sheets>
  <externalReferences>
    <externalReference r:id="rId7"/>
  </externalReferences>
  <definedNames>
    <definedName name="NRUBRO" localSheetId="1">'Individual Números a Letras'!#REF!</definedName>
    <definedName name="NRUBRO" localSheetId="4">'Mancomunado Números a Letras'!#REF!</definedName>
    <definedName name="NRUBRO">'Individual Números a Letras'!#REF!</definedName>
    <definedName name="RUBEJEC">[1]EJECUCIÓN!$G$19:$G$289</definedName>
    <definedName name="SALDOAPROPIACION">[1]EJECUCIÓN!$J$19:$J$289</definedName>
  </definedNames>
  <calcPr calcId="152511"/>
</workbook>
</file>

<file path=xl/calcChain.xml><?xml version="1.0" encoding="utf-8"?>
<calcChain xmlns="http://schemas.openxmlformats.org/spreadsheetml/2006/main">
  <c r="K19" i="3" l="1"/>
  <c r="E8" i="3" l="1"/>
  <c r="C9" i="3"/>
  <c r="C36" i="6" l="1"/>
  <c r="C14" i="3" s="1"/>
  <c r="C35" i="6"/>
  <c r="C13" i="3" s="1"/>
  <c r="O41" i="3"/>
  <c r="K16" i="5"/>
  <c r="E19" i="3"/>
  <c r="E16" i="5"/>
  <c r="C34" i="6"/>
  <c r="B12" i="3" s="1"/>
  <c r="I41" i="3"/>
  <c r="J30" i="6"/>
  <c r="K30" i="6" s="1"/>
  <c r="I28" i="6"/>
  <c r="D28" i="6"/>
  <c r="G28" i="6" s="1"/>
  <c r="E23" i="6"/>
  <c r="A1" i="6"/>
  <c r="B2" i="6" s="1"/>
  <c r="M38" i="5"/>
  <c r="C38" i="5"/>
  <c r="C37" i="5"/>
  <c r="E8" i="5"/>
  <c r="Q6" i="5"/>
  <c r="F2" i="6" l="1"/>
  <c r="F3" i="6" s="1"/>
  <c r="F4" i="6" s="1"/>
  <c r="G2" i="6"/>
  <c r="E2" i="6"/>
  <c r="E3" i="6" s="1"/>
  <c r="E4" i="6" s="1"/>
  <c r="B5" i="6"/>
  <c r="B3" i="6"/>
  <c r="B4" i="6" s="1"/>
  <c r="B6" i="6" s="1"/>
  <c r="B8" i="6" s="1"/>
  <c r="H2" i="6"/>
  <c r="I2" i="6"/>
  <c r="J2" i="6"/>
  <c r="C2" i="6"/>
  <c r="D2" i="6"/>
  <c r="A2" i="6"/>
  <c r="D2" i="1"/>
  <c r="D3" i="1"/>
  <c r="D4" i="1"/>
  <c r="D5" i="1"/>
  <c r="E5" i="6" l="1"/>
  <c r="E6" i="6" s="1"/>
  <c r="E8" i="6" s="1"/>
  <c r="F5" i="6"/>
  <c r="F6" i="6" s="1"/>
  <c r="F8" i="6" s="1"/>
  <c r="G3" i="6"/>
  <c r="G4" i="6" s="1"/>
  <c r="G5" i="6"/>
  <c r="C5" i="6"/>
  <c r="C3" i="6"/>
  <c r="C4" i="6" s="1"/>
  <c r="C6" i="6" s="1"/>
  <c r="C8" i="6" s="1"/>
  <c r="J5" i="6"/>
  <c r="J3" i="6"/>
  <c r="J4" i="6" s="1"/>
  <c r="A5" i="6"/>
  <c r="A3" i="6"/>
  <c r="A4" i="6" s="1"/>
  <c r="A6" i="6" s="1"/>
  <c r="A8" i="6" s="1"/>
  <c r="I3" i="6"/>
  <c r="I4" i="6" s="1"/>
  <c r="I5" i="6"/>
  <c r="B16" i="6"/>
  <c r="B18" i="6" s="1"/>
  <c r="B12" i="6"/>
  <c r="B13" i="6"/>
  <c r="H3" i="6"/>
  <c r="H4" i="6" s="1"/>
  <c r="H5" i="6"/>
  <c r="D5" i="6"/>
  <c r="D3" i="6"/>
  <c r="D4" i="6" s="1"/>
  <c r="M2" i="1"/>
  <c r="N5" i="1"/>
  <c r="D6" i="6" l="1"/>
  <c r="D8" i="6" s="1"/>
  <c r="D18" i="6" s="1"/>
  <c r="F13" i="6"/>
  <c r="F12" i="6"/>
  <c r="G6" i="6"/>
  <c r="G8" i="6" s="1"/>
  <c r="F15" i="6" s="1"/>
  <c r="F17" i="6" s="1"/>
  <c r="H6" i="6"/>
  <c r="H8" i="6" s="1"/>
  <c r="H13" i="6" s="1"/>
  <c r="I6" i="6"/>
  <c r="I8" i="6" s="1"/>
  <c r="I12" i="6" s="1"/>
  <c r="E12" i="6"/>
  <c r="E13" i="6"/>
  <c r="J6" i="6"/>
  <c r="J8" i="6" s="1"/>
  <c r="J16" i="6" s="1"/>
  <c r="J17" i="6" s="1"/>
  <c r="J21" i="6" s="1"/>
  <c r="B14" i="6"/>
  <c r="A13" i="6"/>
  <c r="A16" i="6"/>
  <c r="A17" i="6" s="1"/>
  <c r="A21" i="6" s="1"/>
  <c r="A12" i="6"/>
  <c r="C13" i="6"/>
  <c r="D15" i="6"/>
  <c r="D16" i="6" s="1"/>
  <c r="C16" i="6"/>
  <c r="C18" i="6" s="1"/>
  <c r="C12" i="6"/>
  <c r="I28" i="4"/>
  <c r="F16" i="6" l="1"/>
  <c r="E15" i="6"/>
  <c r="E17" i="6" s="1"/>
  <c r="G16" i="6"/>
  <c r="G17" i="6" s="1"/>
  <c r="G21" i="6" s="1"/>
  <c r="C15" i="6"/>
  <c r="C17" i="6" s="1"/>
  <c r="C19" i="6" s="1"/>
  <c r="C21" i="6" s="1"/>
  <c r="B15" i="6"/>
  <c r="B17" i="6" s="1"/>
  <c r="B19" i="6" s="1"/>
  <c r="B21" i="6" s="1"/>
  <c r="E14" i="6"/>
  <c r="A15" i="6"/>
  <c r="F14" i="6"/>
  <c r="F18" i="6" s="1"/>
  <c r="F19" i="6" s="1"/>
  <c r="F21" i="6" s="1"/>
  <c r="I16" i="6"/>
  <c r="I18" i="6" s="1"/>
  <c r="H15" i="6"/>
  <c r="H12" i="6"/>
  <c r="H14" i="6" s="1"/>
  <c r="I15" i="6"/>
  <c r="I17" i="6" s="1"/>
  <c r="G13" i="6"/>
  <c r="H16" i="6"/>
  <c r="H17" i="6" s="1"/>
  <c r="H21" i="6" s="1"/>
  <c r="I13" i="6"/>
  <c r="I14" i="6" s="1"/>
  <c r="G15" i="6"/>
  <c r="G12" i="6"/>
  <c r="J15" i="6"/>
  <c r="A14" i="6"/>
  <c r="J13" i="6"/>
  <c r="J12" i="6"/>
  <c r="D13" i="6"/>
  <c r="C14" i="6"/>
  <c r="D12" i="6"/>
  <c r="D14" i="6" s="1"/>
  <c r="D17" i="6" s="1"/>
  <c r="D19" i="6" s="1"/>
  <c r="D21" i="6" s="1"/>
  <c r="E16" i="6" l="1"/>
  <c r="E18" i="6" s="1"/>
  <c r="E19" i="6" s="1"/>
  <c r="E21" i="6" s="1"/>
  <c r="I19" i="6"/>
  <c r="I21" i="6" s="1"/>
  <c r="G14" i="6"/>
  <c r="J14" i="6"/>
  <c r="D46" i="2"/>
  <c r="C25" i="6" l="1"/>
  <c r="F23" i="6" s="1"/>
  <c r="E25" i="6"/>
  <c r="F25" i="6" s="1"/>
  <c r="M3" i="1"/>
  <c r="D25" i="6" l="1"/>
  <c r="F28" i="6"/>
  <c r="C29" i="6" s="1"/>
  <c r="M4" i="1"/>
  <c r="B11" i="1" s="1"/>
  <c r="M5" i="1"/>
  <c r="D41" i="2" s="1"/>
  <c r="D30" i="6" s="1"/>
  <c r="C10" i="1"/>
  <c r="D10" i="1" l="1"/>
  <c r="C11" i="1"/>
  <c r="D11" i="1" s="1"/>
  <c r="B12" i="1"/>
  <c r="B13" i="1" l="1"/>
  <c r="C12" i="1"/>
  <c r="D12" i="1" s="1"/>
  <c r="B14" i="1" l="1"/>
  <c r="C13" i="1"/>
  <c r="D13" i="1" s="1"/>
  <c r="B15" i="1" l="1"/>
  <c r="C14" i="1"/>
  <c r="D14" i="1" s="1"/>
  <c r="B16" i="1" l="1"/>
  <c r="C15" i="1"/>
  <c r="D15" i="1" s="1"/>
  <c r="B17" i="1" l="1"/>
  <c r="C16" i="1"/>
  <c r="D16" i="1" s="1"/>
  <c r="B18" i="1" l="1"/>
  <c r="C17" i="1"/>
  <c r="D17" i="1" s="1"/>
  <c r="B19" i="1" l="1"/>
  <c r="C18" i="1"/>
  <c r="D18" i="1" s="1"/>
  <c r="B20" i="1" l="1"/>
  <c r="C19" i="1"/>
  <c r="D19" i="1" s="1"/>
  <c r="B21" i="1" l="1"/>
  <c r="C20" i="1"/>
  <c r="D20" i="1" s="1"/>
  <c r="B22" i="1" l="1"/>
  <c r="C21" i="1"/>
  <c r="D21" i="1" s="1"/>
  <c r="B23" i="1" l="1"/>
  <c r="C22" i="1"/>
  <c r="D22" i="1" s="1"/>
  <c r="B24" i="1" l="1"/>
  <c r="C23" i="1"/>
  <c r="D23" i="1" s="1"/>
  <c r="B25" i="1" l="1"/>
  <c r="C24" i="1"/>
  <c r="D24" i="1" s="1"/>
  <c r="B26" i="1" l="1"/>
  <c r="C25" i="1"/>
  <c r="D25" i="1" s="1"/>
  <c r="B27" i="1" l="1"/>
  <c r="C26" i="1"/>
  <c r="D26" i="1" s="1"/>
  <c r="B28" i="1" l="1"/>
  <c r="C27" i="1"/>
  <c r="D27" i="1" s="1"/>
  <c r="B29" i="1" l="1"/>
  <c r="C28" i="1"/>
  <c r="D28" i="1" s="1"/>
  <c r="B30" i="1" l="1"/>
  <c r="C29" i="1"/>
  <c r="D29" i="1" s="1"/>
  <c r="B31" i="1" l="1"/>
  <c r="C30" i="1"/>
  <c r="D30" i="1" s="1"/>
  <c r="B32" i="1" l="1"/>
  <c r="C31" i="1"/>
  <c r="D31" i="1" s="1"/>
  <c r="B33" i="1" l="1"/>
  <c r="C32" i="1"/>
  <c r="D32" i="1" s="1"/>
  <c r="B34" i="1" l="1"/>
  <c r="C33" i="1"/>
  <c r="D33" i="1" s="1"/>
  <c r="B35" i="1" l="1"/>
  <c r="C34" i="1"/>
  <c r="D34" i="1" s="1"/>
  <c r="B36" i="1" l="1"/>
  <c r="C35" i="1"/>
  <c r="D35" i="1" s="1"/>
  <c r="B37" i="1" l="1"/>
  <c r="C36" i="1"/>
  <c r="D36" i="1" s="1"/>
  <c r="B38" i="1" l="1"/>
  <c r="C37" i="1"/>
  <c r="D37" i="1" s="1"/>
  <c r="B39" i="1" l="1"/>
  <c r="C38" i="1"/>
  <c r="D38" i="1" s="1"/>
  <c r="B40" i="1" l="1"/>
  <c r="C39" i="1"/>
  <c r="D39" i="1" s="1"/>
  <c r="B41" i="1" l="1"/>
  <c r="C40" i="1"/>
  <c r="D40" i="1" s="1"/>
  <c r="B42" i="1" l="1"/>
  <c r="C41" i="1"/>
  <c r="D41" i="1" s="1"/>
  <c r="B43" i="1" l="1"/>
  <c r="C42" i="1"/>
  <c r="D42" i="1" s="1"/>
  <c r="B44" i="1" l="1"/>
  <c r="C43" i="1"/>
  <c r="D43" i="1" s="1"/>
  <c r="B45" i="1" l="1"/>
  <c r="C44" i="1"/>
  <c r="D44" i="1" s="1"/>
  <c r="B46" i="1" l="1"/>
  <c r="C45" i="1"/>
  <c r="D45" i="1" s="1"/>
  <c r="B47" i="1" l="1"/>
  <c r="C46" i="1"/>
  <c r="D46" i="1" s="1"/>
  <c r="B48" i="1" l="1"/>
  <c r="C47" i="1"/>
  <c r="D47" i="1" s="1"/>
  <c r="B49" i="1" l="1"/>
  <c r="C48" i="1"/>
  <c r="D48" i="1" s="1"/>
  <c r="B50" i="1" l="1"/>
  <c r="C49" i="1"/>
  <c r="D49" i="1" s="1"/>
  <c r="B51" i="1" l="1"/>
  <c r="C50" i="1"/>
  <c r="D50" i="1" s="1"/>
  <c r="B52" i="1" l="1"/>
  <c r="C51" i="1"/>
  <c r="D51" i="1" s="1"/>
  <c r="B53" i="1" l="1"/>
  <c r="C52" i="1"/>
  <c r="D52" i="1" s="1"/>
  <c r="B54" i="1" l="1"/>
  <c r="C53" i="1"/>
  <c r="D53" i="1" s="1"/>
  <c r="B55" i="1" l="1"/>
  <c r="C54" i="1"/>
  <c r="D54" i="1" s="1"/>
  <c r="B56" i="1" l="1"/>
  <c r="C55" i="1"/>
  <c r="D55" i="1" s="1"/>
  <c r="B57" i="1" l="1"/>
  <c r="C56" i="1"/>
  <c r="D56" i="1" s="1"/>
  <c r="B58" i="1" l="1"/>
  <c r="C57" i="1"/>
  <c r="D57" i="1" s="1"/>
  <c r="B59" i="1" l="1"/>
  <c r="C58" i="1"/>
  <c r="D58" i="1" s="1"/>
  <c r="B60" i="1" l="1"/>
  <c r="C59" i="1"/>
  <c r="D59" i="1" s="1"/>
  <c r="B61" i="1" l="1"/>
  <c r="C60" i="1"/>
  <c r="D60" i="1" s="1"/>
  <c r="B62" i="1" l="1"/>
  <c r="C61" i="1"/>
  <c r="D61" i="1" s="1"/>
  <c r="B63" i="1" l="1"/>
  <c r="C62" i="1"/>
  <c r="D62" i="1" s="1"/>
  <c r="B64" i="1" l="1"/>
  <c r="C63" i="1"/>
  <c r="D63" i="1" s="1"/>
  <c r="B65" i="1" l="1"/>
  <c r="C64" i="1"/>
  <c r="D64" i="1" s="1"/>
  <c r="B66" i="1" l="1"/>
  <c r="C65" i="1"/>
  <c r="D65" i="1" s="1"/>
  <c r="B67" i="1" l="1"/>
  <c r="C66" i="1"/>
  <c r="D66" i="1" s="1"/>
  <c r="B68" i="1" l="1"/>
  <c r="C67" i="1"/>
  <c r="D67" i="1" s="1"/>
  <c r="B69" i="1" l="1"/>
  <c r="C68" i="1"/>
  <c r="D68" i="1" s="1"/>
  <c r="B70" i="1" l="1"/>
  <c r="C69" i="1"/>
  <c r="D69" i="1" s="1"/>
  <c r="B71" i="1" l="1"/>
  <c r="C70" i="1"/>
  <c r="D70" i="1" s="1"/>
  <c r="B72" i="1" l="1"/>
  <c r="C71" i="1"/>
  <c r="D71" i="1" s="1"/>
  <c r="B73" i="1" l="1"/>
  <c r="C72" i="1"/>
  <c r="D72" i="1" s="1"/>
  <c r="B74" i="1" l="1"/>
  <c r="C73" i="1"/>
  <c r="D73" i="1" s="1"/>
  <c r="B75" i="1" l="1"/>
  <c r="C74" i="1"/>
  <c r="D74" i="1" s="1"/>
  <c r="B76" i="1" l="1"/>
  <c r="C75" i="1"/>
  <c r="D75" i="1" s="1"/>
  <c r="B77" i="1" l="1"/>
  <c r="C76" i="1"/>
  <c r="D76" i="1" s="1"/>
  <c r="B78" i="1" l="1"/>
  <c r="C77" i="1"/>
  <c r="D77" i="1" s="1"/>
  <c r="B79" i="1" l="1"/>
  <c r="C78" i="1"/>
  <c r="D78" i="1" s="1"/>
  <c r="B80" i="1" l="1"/>
  <c r="C79" i="1"/>
  <c r="D79" i="1" s="1"/>
  <c r="B81" i="1" l="1"/>
  <c r="C80" i="1"/>
  <c r="D80" i="1" s="1"/>
  <c r="B82" i="1" l="1"/>
  <c r="C81" i="1"/>
  <c r="D81" i="1" s="1"/>
  <c r="B83" i="1" l="1"/>
  <c r="C82" i="1"/>
  <c r="D82" i="1" s="1"/>
  <c r="B84" i="1" l="1"/>
  <c r="C83" i="1"/>
  <c r="D83" i="1" s="1"/>
  <c r="B85" i="1" l="1"/>
  <c r="C84" i="1"/>
  <c r="D84" i="1" s="1"/>
  <c r="B86" i="1" l="1"/>
  <c r="C85" i="1"/>
  <c r="D85" i="1" s="1"/>
  <c r="B87" i="1" l="1"/>
  <c r="C86" i="1"/>
  <c r="D86" i="1" s="1"/>
  <c r="B88" i="1" l="1"/>
  <c r="C87" i="1"/>
  <c r="D87" i="1" s="1"/>
  <c r="B89" i="1" l="1"/>
  <c r="C88" i="1"/>
  <c r="D88" i="1" s="1"/>
  <c r="B90" i="1" l="1"/>
  <c r="C89" i="1"/>
  <c r="D89" i="1" s="1"/>
  <c r="B91" i="1" l="1"/>
  <c r="C90" i="1"/>
  <c r="D90" i="1" s="1"/>
  <c r="B92" i="1" l="1"/>
  <c r="C91" i="1"/>
  <c r="D91" i="1" s="1"/>
  <c r="B93" i="1" l="1"/>
  <c r="C92" i="1"/>
  <c r="D92" i="1" s="1"/>
  <c r="B94" i="1" l="1"/>
  <c r="C93" i="1"/>
  <c r="D93" i="1" s="1"/>
  <c r="B95" i="1" l="1"/>
  <c r="C94" i="1"/>
  <c r="D94" i="1" s="1"/>
  <c r="B96" i="1" l="1"/>
  <c r="C95" i="1"/>
  <c r="D95" i="1" s="1"/>
  <c r="B97" i="1" l="1"/>
  <c r="C96" i="1"/>
  <c r="D96" i="1" s="1"/>
  <c r="B98" i="1" l="1"/>
  <c r="C97" i="1"/>
  <c r="D97" i="1" s="1"/>
  <c r="B99" i="1" l="1"/>
  <c r="C98" i="1"/>
  <c r="D98" i="1" s="1"/>
  <c r="B100" i="1" l="1"/>
  <c r="C99" i="1"/>
  <c r="D99" i="1" s="1"/>
  <c r="B101" i="1" l="1"/>
  <c r="C100" i="1"/>
  <c r="D100" i="1" s="1"/>
  <c r="B102" i="1" l="1"/>
  <c r="C101" i="1"/>
  <c r="D101" i="1" s="1"/>
  <c r="B103" i="1" l="1"/>
  <c r="C102" i="1"/>
  <c r="D102" i="1" s="1"/>
  <c r="B104" i="1" l="1"/>
  <c r="C103" i="1"/>
  <c r="D103" i="1" s="1"/>
  <c r="B105" i="1" l="1"/>
  <c r="C104" i="1"/>
  <c r="D104" i="1" s="1"/>
  <c r="B106" i="1" l="1"/>
  <c r="C105" i="1"/>
  <c r="D105" i="1" s="1"/>
  <c r="B107" i="1" l="1"/>
  <c r="C106" i="1"/>
  <c r="D106" i="1" s="1"/>
  <c r="B108" i="1" l="1"/>
  <c r="C107" i="1"/>
  <c r="D107" i="1" s="1"/>
  <c r="B109" i="1" l="1"/>
  <c r="C108" i="1"/>
  <c r="D108" i="1" s="1"/>
  <c r="B110" i="1" l="1"/>
  <c r="C109" i="1"/>
  <c r="D109" i="1" s="1"/>
  <c r="B111" i="1" l="1"/>
  <c r="C110" i="1"/>
  <c r="D110" i="1" s="1"/>
  <c r="B112" i="1" l="1"/>
  <c r="C111" i="1"/>
  <c r="D111" i="1" s="1"/>
  <c r="B113" i="1" l="1"/>
  <c r="C112" i="1"/>
  <c r="D112" i="1" s="1"/>
  <c r="B114" i="1" l="1"/>
  <c r="C113" i="1"/>
  <c r="D113" i="1" s="1"/>
  <c r="B115" i="1" l="1"/>
  <c r="C114" i="1"/>
  <c r="D114" i="1" s="1"/>
  <c r="B116" i="1" l="1"/>
  <c r="C115" i="1"/>
  <c r="D115" i="1" s="1"/>
  <c r="B117" i="1" l="1"/>
  <c r="C116" i="1"/>
  <c r="D116" i="1" s="1"/>
  <c r="B118" i="1" l="1"/>
  <c r="C117" i="1"/>
  <c r="D117" i="1" s="1"/>
  <c r="B119" i="1" l="1"/>
  <c r="C118" i="1"/>
  <c r="D118" i="1" s="1"/>
  <c r="B120" i="1" l="1"/>
  <c r="C119" i="1"/>
  <c r="D119" i="1" s="1"/>
  <c r="B121" i="1" l="1"/>
  <c r="C120" i="1"/>
  <c r="D120" i="1" s="1"/>
  <c r="B122" i="1" l="1"/>
  <c r="C121" i="1"/>
  <c r="D121" i="1" s="1"/>
  <c r="B123" i="1" l="1"/>
  <c r="C122" i="1"/>
  <c r="D122" i="1" s="1"/>
  <c r="B124" i="1" l="1"/>
  <c r="C123" i="1"/>
  <c r="D123" i="1" s="1"/>
  <c r="B125" i="1" l="1"/>
  <c r="C124" i="1"/>
  <c r="D124" i="1" s="1"/>
  <c r="B126" i="1" l="1"/>
  <c r="C125" i="1"/>
  <c r="D125" i="1" s="1"/>
  <c r="B127" i="1" l="1"/>
  <c r="C126" i="1"/>
  <c r="D126" i="1" s="1"/>
  <c r="B128" i="1" l="1"/>
  <c r="C127" i="1"/>
  <c r="D127" i="1" s="1"/>
  <c r="B129" i="1" l="1"/>
  <c r="C128" i="1"/>
  <c r="D128" i="1" s="1"/>
  <c r="C129" i="1" l="1"/>
  <c r="D129" i="1" l="1"/>
  <c r="M6" i="1" s="1"/>
  <c r="D43" i="2" s="1"/>
  <c r="F30" i="6" s="1"/>
  <c r="G30" i="6" s="1"/>
  <c r="C31" i="6" s="1"/>
  <c r="C32" i="6" s="1"/>
  <c r="B10" i="3" s="1"/>
  <c r="C34" i="4" l="1"/>
  <c r="B41" i="3" l="1"/>
  <c r="B40" i="3"/>
  <c r="J30" i="4"/>
  <c r="K30" i="4" s="1"/>
  <c r="E23" i="4" l="1"/>
  <c r="C35" i="4" l="1"/>
  <c r="D28" i="4" l="1"/>
  <c r="C36" i="4" l="1"/>
  <c r="G28" i="4"/>
  <c r="B11" i="5" l="1"/>
  <c r="A1" i="4"/>
  <c r="B2" i="4" s="1"/>
  <c r="J2" i="4" l="1"/>
  <c r="J3" i="4" s="1"/>
  <c r="J4" i="4" s="1"/>
  <c r="I2" i="4"/>
  <c r="A2" i="4"/>
  <c r="F2" i="4"/>
  <c r="D2" i="4"/>
  <c r="H2" i="4"/>
  <c r="C2" i="4"/>
  <c r="G2" i="4"/>
  <c r="E2" i="4"/>
  <c r="B3" i="4"/>
  <c r="B4" i="4" s="1"/>
  <c r="B5" i="4"/>
  <c r="I5" i="4" l="1"/>
  <c r="I3" i="4"/>
  <c r="I4" i="4" s="1"/>
  <c r="E3" i="4"/>
  <c r="E4" i="4" s="1"/>
  <c r="G3" i="4"/>
  <c r="G4" i="4" s="1"/>
  <c r="F3" i="4"/>
  <c r="F4" i="4" s="1"/>
  <c r="A3" i="4"/>
  <c r="A4" i="4" s="1"/>
  <c r="A5" i="4"/>
  <c r="J5" i="4"/>
  <c r="J6" i="4" s="1"/>
  <c r="J8" i="4" s="1"/>
  <c r="F5" i="4"/>
  <c r="E5" i="4"/>
  <c r="B6" i="4"/>
  <c r="B8" i="4" s="1"/>
  <c r="B13" i="4" s="1"/>
  <c r="G5" i="4"/>
  <c r="D3" i="4"/>
  <c r="D4" i="4" s="1"/>
  <c r="D5" i="4"/>
  <c r="C5" i="4"/>
  <c r="C3" i="4"/>
  <c r="C4" i="4" s="1"/>
  <c r="H5" i="4"/>
  <c r="H3" i="4"/>
  <c r="H4" i="4" s="1"/>
  <c r="I6" i="4" l="1"/>
  <c r="I8" i="4" s="1"/>
  <c r="G6" i="4"/>
  <c r="G8" i="4" s="1"/>
  <c r="F6" i="4"/>
  <c r="F8" i="4" s="1"/>
  <c r="A6" i="4"/>
  <c r="A8" i="4" s="1"/>
  <c r="E6" i="4"/>
  <c r="E8" i="4" s="1"/>
  <c r="B12" i="4"/>
  <c r="B14" i="4" s="1"/>
  <c r="C6" i="4"/>
  <c r="C8" i="4" s="1"/>
  <c r="D6" i="4"/>
  <c r="D8" i="4" s="1"/>
  <c r="H6" i="4"/>
  <c r="H8" i="4" s="1"/>
  <c r="D30" i="4"/>
  <c r="A15" i="4" l="1"/>
  <c r="C12" i="4"/>
  <c r="D12" i="4" s="1"/>
  <c r="A12" i="4"/>
  <c r="A13" i="4"/>
  <c r="D18" i="4"/>
  <c r="F12" i="4"/>
  <c r="G13" i="4" s="1"/>
  <c r="I12" i="4"/>
  <c r="H15" i="4"/>
  <c r="H16" i="4" s="1"/>
  <c r="I15" i="4"/>
  <c r="I17" i="4" s="1"/>
  <c r="I13" i="4"/>
  <c r="J15" i="4"/>
  <c r="J16" i="4" s="1"/>
  <c r="E13" i="4"/>
  <c r="E15" i="4"/>
  <c r="E17" i="4" s="1"/>
  <c r="G15" i="4"/>
  <c r="G16" i="4" s="1"/>
  <c r="F13" i="4"/>
  <c r="F15" i="4"/>
  <c r="F17" i="4" s="1"/>
  <c r="E12" i="4"/>
  <c r="B15" i="4"/>
  <c r="B17" i="4" s="1"/>
  <c r="C15" i="4"/>
  <c r="C17" i="4" s="1"/>
  <c r="A16" i="4"/>
  <c r="C13" i="4"/>
  <c r="H12" i="4"/>
  <c r="H13" i="4"/>
  <c r="D15" i="4"/>
  <c r="D16" i="4" s="1"/>
  <c r="D13" i="4" l="1"/>
  <c r="C16" i="4"/>
  <c r="A14" i="4"/>
  <c r="A17" i="4" s="1"/>
  <c r="A21" i="4" s="1"/>
  <c r="G12" i="4"/>
  <c r="G14" i="4" s="1"/>
  <c r="G17" i="4" s="1"/>
  <c r="G21" i="4" s="1"/>
  <c r="I14" i="4"/>
  <c r="C14" i="4"/>
  <c r="F14" i="4"/>
  <c r="E14" i="4"/>
  <c r="F16" i="4"/>
  <c r="J12" i="4"/>
  <c r="I16" i="4"/>
  <c r="J13" i="4"/>
  <c r="E16" i="4"/>
  <c r="H14" i="4"/>
  <c r="H17" i="4" s="1"/>
  <c r="H21" i="4" s="1"/>
  <c r="B16" i="4"/>
  <c r="B18" i="4" s="1"/>
  <c r="B19" i="4" s="1"/>
  <c r="B21" i="4" s="1"/>
  <c r="K17" i="2"/>
  <c r="D14" i="4" l="1"/>
  <c r="D17" i="4" s="1"/>
  <c r="D19" i="4" s="1"/>
  <c r="D21" i="4" s="1"/>
  <c r="I18" i="4"/>
  <c r="I19" i="4" s="1"/>
  <c r="I21" i="4" s="1"/>
  <c r="F18" i="4"/>
  <c r="F19" i="4" s="1"/>
  <c r="F21" i="4" s="1"/>
  <c r="J14" i="4"/>
  <c r="J17" i="4" s="1"/>
  <c r="J21" i="4" s="1"/>
  <c r="E18" i="4"/>
  <c r="E19" i="4" s="1"/>
  <c r="E21" i="4" s="1"/>
  <c r="C18" i="4"/>
  <c r="C19" i="4" s="1"/>
  <c r="C21" i="4" s="1"/>
  <c r="E25" i="4" l="1"/>
  <c r="C25" i="4"/>
  <c r="F23" i="4" s="1"/>
  <c r="D25" i="4" l="1"/>
  <c r="F25" i="4"/>
  <c r="F30" i="4"/>
  <c r="G30" i="4" s="1"/>
  <c r="C31" i="4" s="1"/>
  <c r="F28" i="4" l="1"/>
  <c r="C29" i="4" s="1"/>
  <c r="C32" i="4" s="1"/>
  <c r="Q6" i="3"/>
</calcChain>
</file>

<file path=xl/sharedStrings.xml><?xml version="1.0" encoding="utf-8"?>
<sst xmlns="http://schemas.openxmlformats.org/spreadsheetml/2006/main" count="151" uniqueCount="99">
  <si>
    <t>Cartilla de Información Depósito a Plazo – Jubilación</t>
  </si>
  <si>
    <t>El depósito a plazo tiene los siguientes beneficios y condiciones:</t>
  </si>
  <si>
    <t>Cancelación en años cumplidos</t>
  </si>
  <si>
    <t>Tasa (%)</t>
  </si>
  <si>
    <t>[5-8&gt;</t>
  </si>
  <si>
    <t>[8-10&gt;</t>
  </si>
  <si>
    <t>El Cliente declara que: ha recibido la presente Cartilla de Información en 02 páginas impresas junto con el Contrato de Depósitos, ha leído los documentos y se absolvieron sus dudas y, firma con conocimiento pleno de las condiciones establecidas en dichos documentos.</t>
  </si>
  <si>
    <t>Firma Cliente</t>
  </si>
  <si>
    <t xml:space="preserve">El (La) Sr(a) </t>
  </si>
  <si>
    <t>Plazo en años</t>
  </si>
  <si>
    <t>TREA</t>
  </si>
  <si>
    <t>Plazo</t>
  </si>
  <si>
    <t>Días</t>
  </si>
  <si>
    <t>·</t>
  </si>
  <si>
    <t>Correo electrónico</t>
  </si>
  <si>
    <t>Dirección</t>
  </si>
  <si>
    <t>años</t>
  </si>
  <si>
    <t>Monto de Plazo (S/)</t>
  </si>
  <si>
    <t>Intereses (S/)</t>
  </si>
  <si>
    <t>Información Adicional:</t>
  </si>
  <si>
    <t>A llenar por el vendedor</t>
  </si>
  <si>
    <t>Nombre del vendedor</t>
  </si>
  <si>
    <t>Puesto del vendedor</t>
  </si>
  <si>
    <t>DNI</t>
  </si>
  <si>
    <t>CE</t>
  </si>
  <si>
    <t>Documento</t>
  </si>
  <si>
    <t>Documento de Identidad</t>
  </si>
  <si>
    <t>Depósito de intereses mensuales de forma automática en la siguiente cuenta en soles:</t>
  </si>
  <si>
    <t>-</t>
  </si>
  <si>
    <t>Puesto</t>
  </si>
  <si>
    <t>RF Plataforma</t>
  </si>
  <si>
    <t>Gerente Asistente</t>
  </si>
  <si>
    <t>Gerente de Tienda</t>
  </si>
  <si>
    <t>EBP</t>
  </si>
  <si>
    <t>RESULTADO</t>
  </si>
  <si>
    <t>http://sites.google.com/site/brehiner25/</t>
  </si>
  <si>
    <t>Visite a:</t>
  </si>
  <si>
    <t>ELABORADO POR BREHINER MORENO ZÚÑIGA</t>
  </si>
  <si>
    <t>soles (S/)</t>
  </si>
  <si>
    <t>Nombres y apellidos completos del Cliente</t>
  </si>
  <si>
    <t>autoriza a Interbank a transferir</t>
  </si>
  <si>
    <t>el monto de</t>
  </si>
  <si>
    <t>Total</t>
  </si>
  <si>
    <t>El depósito a plazo pagará una Tasa de Rendimiento Efectiva anual de</t>
  </si>
  <si>
    <t>moneda soles (S/) al depósito a plazo fijo que Interbank abrirá a su nombre dentro de los tres (3) días útiles siguientes.</t>
  </si>
  <si>
    <t>a un plazo de</t>
  </si>
  <si>
    <t>[1-3&gt;</t>
  </si>
  <si>
    <t>[3-5&gt;</t>
  </si>
  <si>
    <t>Correo</t>
  </si>
  <si>
    <t>FORMATOS</t>
  </si>
  <si>
    <t>Dos modalidades de cancelación anticipada:</t>
  </si>
  <si>
    <t>Partes A</t>
  </si>
  <si>
    <t>Total A</t>
  </si>
  <si>
    <t>Partes B</t>
  </si>
  <si>
    <t>Total B</t>
  </si>
  <si>
    <t>Total A+B</t>
  </si>
  <si>
    <t>, equivalente aproximadamente a</t>
  </si>
  <si>
    <t>Código de Tienda</t>
  </si>
  <si>
    <t>soles (S/) por concepto de interés total sobre el importe disponible,</t>
  </si>
  <si>
    <t>Fecha</t>
  </si>
  <si>
    <t>Editables</t>
  </si>
  <si>
    <t>Cronograma del cliente</t>
  </si>
  <si>
    <t>Mes</t>
  </si>
  <si>
    <t>Capital</t>
  </si>
  <si>
    <t>Interés ganado del cliente</t>
  </si>
  <si>
    <t>Datos de la operación</t>
  </si>
  <si>
    <t>Monto Inicial</t>
  </si>
  <si>
    <t>Plazo (años)</t>
  </si>
  <si>
    <t>Meses</t>
  </si>
  <si>
    <t>Tasa</t>
  </si>
  <si>
    <t>Totalk Interés</t>
  </si>
  <si>
    <t>Todos los campos son obligatorios. Esta pestaña es solo para completar los datos del cliente y del plazo.
El cálculo de interés corresponden al Depósito a Plazo Jubilación.
No olvide entregar al cliente el formato final impreso de la "Cartilla de Información Depósito a Plazo - Jubilación".</t>
  </si>
  <si>
    <t>, contados desde la fecha que se hace efectivo el depósito a plazo, bajo los términos del contrato suscrito entre el Cliente e Interbank. El cálculo de interés corresponden al Depósito a Plazo Jubilación. La presente cartilla no es negociable.</t>
  </si>
  <si>
    <t>Permite un (1) retiro de hasta el 10% del capital inicial después de cumplir el primer año de abierto el depósito a plazo. Sólo aplica para plazos de 5 a 10 años.
El monto a retirar será transferido a la cuenta antes indicada asociada al depósito a plazo.
Si el monto solicitado a retirar excede el porcentaje máximo de su capital inicial, el monto a retirar será el máximo permitido. El banco realizará el abono por el monto del retiro solicitado en los próximos dos (2) días útiles como máximo, mientras la cuenta asociada al depósito se encuentre en situación de activa.</t>
  </si>
  <si>
    <t>Número de Cuenta Asociada</t>
  </si>
  <si>
    <t>de su cuenta N°</t>
  </si>
  <si>
    <t>Importante: Si al momento de la apertura del depósito a plazo, el saldo de su cuenta asociada al depósito  no cubre el monto señalado líneas arriba, el depósito a plazo no será abierto y el contrato será resuelto automáticamente bajo la responsabilidad del cliente.</t>
  </si>
  <si>
    <r>
      <rPr>
        <b/>
        <sz val="12"/>
        <rFont val="Arial Narrow"/>
        <family val="2"/>
      </rPr>
      <t xml:space="preserve">1. La tasa de rendimiento efectivo anual (TREA) es igual a la tasa efectiva anual (TEA). Tasa a un año base de 360 días. Este producto es respaldado por el Fondo de Seguro de Depósitos. </t>
    </r>
    <r>
      <rPr>
        <sz val="12"/>
        <rFont val="Arial Narrow"/>
        <family val="2"/>
      </rPr>
      <t xml:space="preserve">
2. Saldo mínimo de equilibrio es igual al monto mínimo de apertura de la cuenta. 
3. Depósitos con cheque: aplican intereses desde que se haga efectivo: i) cheque Interbank: un  (1) día útil y ii) cheque otro banco local, dos (2) días útiles contados a partir del siguiente día en que se realiza el depósito. 
4. Capitalización diaria. Capitalización diaria. El monto de intereses calculado considera que se realizan retiros mensuales de intereses. Para cancelaciones antes de su vencimiento, los intereses retirados hasta la fecha de cancelación serán descontados del capital en caso corresponda.
5. Los intereses serán abonados como máximo el quinto  día útil de cada mes en la cuenta asociada al presente depósito a plazo. En caso el cliente necesite retirar su interés antes de finalizar el mes, puede acercarse a cualquiera de las Tiendas Interbank; el interés restante será depositado en su cuenta asociada al depósito dentro de los primeros cinco días útiles del mes siguiente.
6. Los beneficios del depósito a plazo (retiro de intereses mensuales y retiro de capital) están sujetos a la vigencia de la cuenta asociada al depósito; en caso de cancelarla, estos beneficios se pierden.
7. Este depósito se renovará automáticamente a su vencimiento bajo la </t>
    </r>
    <r>
      <rPr>
        <b/>
        <sz val="12"/>
        <rFont val="Arial Narrow"/>
        <family val="2"/>
      </rPr>
      <t>TREA</t>
    </r>
    <r>
      <rPr>
        <sz val="12"/>
        <rFont val="Arial Narrow"/>
        <family val="2"/>
      </rPr>
      <t xml:space="preserve"> soles en 0.1% bajo las condiciones promocionales en dicho momento para cada producto a plazo. Recomendamos contactarse con Interbank para conocer las tasas que tenemos en campaña.
8. Impuesto a las transacciones financieras (ITF): 0.005%. Según tarifario vigente.
9. Monto mínimo de apertura de cincuenta mil (50,000) soles.</t>
    </r>
  </si>
  <si>
    <t xml:space="preserve"> y a el (la) Sr(a) </t>
  </si>
  <si>
    <t>*Si la cuenta es mancomunada llenar los datos del mancomuno, caso contrario, omitir esta sección.</t>
  </si>
  <si>
    <t>moneda soles (S/) al depósito a plazo fijo que Interbank abrirá a sus nombres dentro de los tres (3) días útiles siguientes.</t>
  </si>
  <si>
    <t>Correo 1</t>
  </si>
  <si>
    <t>Dato 2</t>
  </si>
  <si>
    <t>Tipo de Cuenta</t>
  </si>
  <si>
    <t>Cuenta Millonaria Premio</t>
  </si>
  <si>
    <t>Firma Cliente 1</t>
  </si>
  <si>
    <t>Firma Cliente 2</t>
  </si>
  <si>
    <t>Cuentas de Abono</t>
  </si>
  <si>
    <t>Cuenta Simple</t>
  </si>
  <si>
    <t>Cuenta Ágil</t>
  </si>
  <si>
    <t>Cuenta Sueldo</t>
  </si>
  <si>
    <t>Cuenta Millonaria Tasa</t>
  </si>
  <si>
    <r>
      <rPr>
        <b/>
        <sz val="12"/>
        <rFont val="Arial Narrow"/>
        <family val="2"/>
      </rPr>
      <t>Cancelación anticipada regular:</t>
    </r>
    <r>
      <rPr>
        <sz val="12"/>
        <rFont val="Arial Narrow"/>
        <family val="2"/>
      </rPr>
      <t xml:space="preserve"> Si el depósito se cancela: (i) antes del día treinta y uno (31), devuelve solo capital; (ii) el día treinta y uno (31) o luego de dicha fecha pero antes de su vencimiento, devuelve capital más intereses calculados con la menor tasa de interés según tarifario vigente entre las cuentas de ahorro de Interbank persona natural o persona jurídica. Los intereses retirados hasta la fecha de cancelación serán descontados del capital en caso corresponda.</t>
    </r>
  </si>
  <si>
    <r>
      <rPr>
        <b/>
        <sz val="12"/>
        <rFont val="Arial Narrow"/>
        <family val="2"/>
      </rPr>
      <t>Cancelación anticipada Plus:</t>
    </r>
    <r>
      <rPr>
        <sz val="12"/>
        <rFont val="Arial Narrow"/>
        <family val="2"/>
      </rPr>
      <t xml:space="preserve"> Solo aplica después de cumplir los primeros trescientos sesenta y cinco (365) días. El monto del retiro se depositará a su cuenta asociada al depósito dentro de los dos (2) días hábiles de haberlo solicitado, según el siguiente cuadro: </t>
    </r>
  </si>
  <si>
    <t>Solicitud de Apertura de Depósito a Plazo Jubilación</t>
  </si>
  <si>
    <t>La Tasa de Rendimiento Efectivo Anual (TREA) es igual a la Tasa Efectiva Anual (TEA). Tasa a un año base de 360 días. Saldo Mínimo de Equilibrio es igual al monto mínimo de apertura de la cuenta.</t>
  </si>
  <si>
    <r>
      <rPr>
        <b/>
        <sz val="12"/>
        <rFont val="Arial Narrow"/>
        <family val="2"/>
      </rPr>
      <t xml:space="preserve">1. La tasa de rendimiento efectivo anual (TREA) es igual a la tasa efectiva anual (TEA). Tasa a un año base de 360 días. Este producto es respaldado por el Fondo de Seguro de Depósitos. </t>
    </r>
    <r>
      <rPr>
        <sz val="12"/>
        <rFont val="Arial Narrow"/>
        <family val="2"/>
      </rPr>
      <t xml:space="preserve">
</t>
    </r>
    <r>
      <rPr>
        <b/>
        <sz val="12"/>
        <rFont val="Arial Narrow"/>
        <family val="2"/>
      </rPr>
      <t xml:space="preserve">2. Saldo mínimo de equilibrio es igual al monto mínimo de apertura de la cuenta. </t>
    </r>
    <r>
      <rPr>
        <sz val="12"/>
        <rFont val="Arial Narrow"/>
        <family val="2"/>
      </rPr>
      <t xml:space="preserve">
3. Depósitos con cheque: aplican intereses desde que se haga efectivo: i) cheque Interbank: un  (1) día útil y ii) cheque otro banco local, dos (2) días útiles contados a partir del siguiente día en que se realiza el depósito. 
4. Capitalización diaria. Capitalización diaria. El monto de intereses calculado considera que se realizan retiros mensuales de intereses. Para cancelaciones antes de su vencimiento, los intereses retirados hasta la fecha de cancelación serán descontados del capital en caso corresponda.
5. Los intereses serán abonados como máximo el quinto  día útil de cada mes en la cuenta asociada al presente depósito a plazo. En caso el cliente necesite retirar su interés antes de finalizar el mes, puede acercarse a cualquiera de las Tiendas Interbank; el interés restante será depositado en su cuenta asociada al depósito dentro de los primeros cinco días útiles del mes siguiente.
6. Los beneficios del depósito a plazo (retiro de intereses mensuales y retiro de capital) están sujetos a la vigencia de la cuenta asociada al depósito; en caso de cancelarla, estos beneficios se pierden.
7. Este depósito se renovará automáticamente a su vencimiento bajo la </t>
    </r>
    <r>
      <rPr>
        <b/>
        <sz val="12"/>
        <rFont val="Arial Narrow"/>
        <family val="2"/>
      </rPr>
      <t>TREA</t>
    </r>
    <r>
      <rPr>
        <sz val="12"/>
        <rFont val="Arial Narrow"/>
        <family val="2"/>
      </rPr>
      <t xml:space="preserve"> soles en 0.1% bajo las condiciones promocionales en dicho momento para cada producto a plazo. Recomendamos contactarse con Interbank para conocer las tasas que tenemos en campaña.
8. Impuesto a las transacciones financieras (ITF): 0.005%. Según tarifario vigente.
9. Monto mínimo de apertura de cincuenta mil (50,000) soles.</t>
    </r>
  </si>
  <si>
    <r>
      <t xml:space="preserve">el monto de {  monto  } soles (S/) {         monto en letras         } de su cuenta N° { N° de cuenta } moneda soles (S/) al depósito a plazo fijo que Interbank abrirá a su nombre dentro de los tres (3) días útiles siguientes. El depósito a plazo pagará una </t>
    </r>
    <r>
      <rPr>
        <b/>
        <sz val="12"/>
        <color theme="1"/>
        <rFont val="Arial Narrow"/>
        <family val="2"/>
      </rPr>
      <t>Tasa de Rendimiento Efectiva anual</t>
    </r>
    <r>
      <rPr>
        <sz val="12"/>
        <color theme="1"/>
        <rFont val="Arial Narrow"/>
        <family val="2"/>
      </rPr>
      <t xml:space="preserve"> de {   </t>
    </r>
    <r>
      <rPr>
        <b/>
        <sz val="12"/>
        <color theme="1"/>
        <rFont val="Arial Narrow"/>
        <family val="2"/>
      </rPr>
      <t>TREA</t>
    </r>
    <r>
      <rPr>
        <sz val="12"/>
        <color theme="1"/>
        <rFont val="Arial Narrow"/>
        <family val="2"/>
      </rPr>
      <t xml:space="preserve"> del Plazo   }, equivalente aproximadamente a 0.00 soles (S/) por concepto de interés total sobre el importe disponible, a un plazo de {   Años del plazo   } años, contados desde la fecha que se hace efectivo el depósito a plazo, bajo los términos del contrato suscrito entre el Cliente e Interbank. El cálculo de interés corresponden al Depósito a Plazo Jubilación. La presente cartilla no es negociable.</t>
    </r>
  </si>
  <si>
    <t>Fecha de vigencia: Marzo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</si>
</sst>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 #,##0.00_ ;_ * \-#,##0.00_ ;_ * &quot;-&quot;??_ ;_ @_ "/>
    <numFmt numFmtId="165" formatCode="_ * #,##0_ ;_ * \-#,##0_ ;_ * &quot;-&quot;??_ ;_ @_ "/>
  </numFmts>
  <fonts count="43" x14ac:knownFonts="1">
    <font>
      <sz val="11"/>
      <color theme="1"/>
      <name val="Calibri"/>
      <family val="2"/>
      <scheme val="minor"/>
    </font>
    <font>
      <sz val="11"/>
      <color theme="1"/>
      <name val="Calibri"/>
      <family val="2"/>
      <scheme val="minor"/>
    </font>
    <font>
      <b/>
      <u/>
      <sz val="12"/>
      <color theme="1"/>
      <name val="Arial Narrow"/>
      <family val="2"/>
    </font>
    <font>
      <sz val="12"/>
      <color theme="1"/>
      <name val="Arial Narrow"/>
      <family val="2"/>
    </font>
    <font>
      <sz val="12"/>
      <color theme="1"/>
      <name val="Calibri"/>
      <family val="2"/>
      <scheme val="minor"/>
    </font>
    <font>
      <sz val="12"/>
      <color theme="1"/>
      <name val="Symbol"/>
      <family val="1"/>
      <charset val="2"/>
    </font>
    <font>
      <sz val="12"/>
      <color rgb="FF000000"/>
      <name val="Arial Narrow"/>
      <family val="2"/>
    </font>
    <font>
      <sz val="11"/>
      <color theme="1"/>
      <name val="Arial Narrow"/>
      <family val="2"/>
    </font>
    <font>
      <b/>
      <sz val="11"/>
      <color theme="1"/>
      <name val="Arial Narrow"/>
      <family val="2"/>
    </font>
    <font>
      <sz val="11"/>
      <color theme="0"/>
      <name val="Arial Narrow"/>
      <family val="2"/>
    </font>
    <font>
      <i/>
      <sz val="11"/>
      <color theme="1"/>
      <name val="Arial Narrow"/>
      <family val="2"/>
    </font>
    <font>
      <sz val="10"/>
      <color theme="1"/>
      <name val="Arial Narrow"/>
      <family val="2"/>
    </font>
    <font>
      <i/>
      <sz val="10"/>
      <color theme="1"/>
      <name val="Arial Narrow"/>
      <family val="2"/>
    </font>
    <font>
      <b/>
      <sz val="10"/>
      <color theme="1"/>
      <name val="Arial Narrow"/>
      <family val="2"/>
    </font>
    <font>
      <b/>
      <sz val="16"/>
      <color theme="1"/>
      <name val="Arial Narrow"/>
      <family val="2"/>
    </font>
    <font>
      <b/>
      <u/>
      <sz val="14"/>
      <color theme="1"/>
      <name val="Arial Narrow"/>
      <family val="2"/>
    </font>
    <font>
      <sz val="8"/>
      <color theme="0"/>
      <name val="Arial Narrow"/>
      <family val="2"/>
    </font>
    <font>
      <u/>
      <sz val="11"/>
      <color theme="10"/>
      <name val="Calibri"/>
      <family val="2"/>
    </font>
    <font>
      <sz val="10"/>
      <name val="Arial"/>
      <family val="2"/>
    </font>
    <font>
      <sz val="8"/>
      <color theme="1"/>
      <name val="Calibri"/>
      <family val="2"/>
      <scheme val="minor"/>
    </font>
    <font>
      <sz val="9"/>
      <color theme="1"/>
      <name val="Arial Narrow"/>
      <family val="2"/>
    </font>
    <font>
      <sz val="9"/>
      <color theme="1"/>
      <name val="Calibri"/>
      <family val="2"/>
      <scheme val="minor"/>
    </font>
    <font>
      <b/>
      <sz val="9"/>
      <color theme="1"/>
      <name val="Arial Narrow"/>
      <family val="2"/>
    </font>
    <font>
      <b/>
      <sz val="11"/>
      <color theme="1"/>
      <name val="Calibri"/>
      <family val="2"/>
      <scheme val="minor"/>
    </font>
    <font>
      <sz val="8"/>
      <color rgb="FFFF0000"/>
      <name val="Arial"/>
      <family val="2"/>
    </font>
    <font>
      <u/>
      <sz val="8"/>
      <color theme="10"/>
      <name val="Calibri"/>
      <family val="2"/>
    </font>
    <font>
      <b/>
      <sz val="10"/>
      <color theme="1"/>
      <name val="Calibri"/>
      <family val="2"/>
      <scheme val="minor"/>
    </font>
    <font>
      <b/>
      <sz val="10"/>
      <color theme="5" tint="-0.249977111117893"/>
      <name val="Calibri"/>
      <family val="2"/>
      <scheme val="minor"/>
    </font>
    <font>
      <sz val="10"/>
      <color theme="1"/>
      <name val="Calibri"/>
      <family val="2"/>
      <scheme val="minor"/>
    </font>
    <font>
      <b/>
      <sz val="10"/>
      <color theme="4"/>
      <name val="Calibri"/>
      <family val="2"/>
      <scheme val="minor"/>
    </font>
    <font>
      <sz val="9"/>
      <color theme="1" tint="0.14999847407452621"/>
      <name val="Arial Narrow"/>
      <family val="2"/>
    </font>
    <font>
      <b/>
      <sz val="11"/>
      <color rgb="FF002060"/>
      <name val="Calibri"/>
      <family val="2"/>
      <scheme val="minor"/>
    </font>
    <font>
      <b/>
      <sz val="8"/>
      <color theme="0"/>
      <name val="Calibri"/>
      <family val="2"/>
      <scheme val="minor"/>
    </font>
    <font>
      <b/>
      <sz val="9"/>
      <color theme="1"/>
      <name val="Calibri"/>
      <family val="2"/>
      <scheme val="minor"/>
    </font>
    <font>
      <b/>
      <sz val="9"/>
      <name val="Calibri"/>
      <family val="2"/>
    </font>
    <font>
      <b/>
      <sz val="9"/>
      <color rgb="FF002060"/>
      <name val="Calibri"/>
      <family val="2"/>
      <scheme val="minor"/>
    </font>
    <font>
      <sz val="9"/>
      <name val="Calibri"/>
      <family val="2"/>
    </font>
    <font>
      <sz val="12"/>
      <name val="Arial Narrow"/>
      <family val="2"/>
    </font>
    <font>
      <b/>
      <sz val="12"/>
      <name val="Arial Narrow"/>
      <family val="2"/>
    </font>
    <font>
      <b/>
      <sz val="12"/>
      <color rgb="FF000000"/>
      <name val="Arial Narrow"/>
      <family val="2"/>
    </font>
    <font>
      <b/>
      <sz val="11"/>
      <name val="Arial Narrow"/>
      <family val="2"/>
    </font>
    <font>
      <b/>
      <sz val="12"/>
      <color theme="1"/>
      <name val="Arial Narrow"/>
      <family val="2"/>
    </font>
    <font>
      <sz val="9"/>
      <name val="Arial Narrow"/>
      <family val="2"/>
    </font>
  </fonts>
  <fills count="7">
    <fill>
      <patternFill patternType="none"/>
    </fill>
    <fill>
      <patternFill patternType="gray125"/>
    </fill>
    <fill>
      <patternFill patternType="solid">
        <fgColor rgb="FFFFFF00"/>
        <bgColor indexed="64"/>
      </patternFill>
    </fill>
    <fill>
      <patternFill patternType="solid">
        <fgColor theme="9" tint="0.59999389629810485"/>
        <bgColor indexed="64"/>
      </patternFill>
    </fill>
    <fill>
      <patternFill patternType="solid">
        <fgColor theme="8"/>
        <bgColor indexed="64"/>
      </patternFill>
    </fill>
    <fill>
      <patternFill patternType="solid">
        <fgColor theme="0"/>
        <bgColor indexed="64"/>
      </patternFill>
    </fill>
    <fill>
      <patternFill patternType="solid">
        <fgColor theme="0" tint="-0.14999847407452621"/>
        <bgColor indexed="64"/>
      </patternFill>
    </fill>
  </fills>
  <borders count="1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s>
  <cellStyleXfs count="4">
    <xf numFmtId="0" fontId="0" fillId="0" borderId="0"/>
    <xf numFmtId="164" fontId="1" fillId="0" borderId="0" applyFont="0" applyFill="0" applyBorder="0" applyAlignment="0" applyProtection="0"/>
    <xf numFmtId="9" fontId="1" fillId="0" borderId="0" applyFont="0" applyFill="0" applyBorder="0" applyAlignment="0" applyProtection="0"/>
    <xf numFmtId="0" fontId="17" fillId="0" borderId="0" applyNumberFormat="0" applyFill="0" applyBorder="0" applyAlignment="0" applyProtection="0">
      <alignment vertical="top"/>
      <protection locked="0"/>
    </xf>
  </cellStyleXfs>
  <cellXfs count="199">
    <xf numFmtId="0" fontId="0" fillId="0" borderId="0" xfId="0"/>
    <xf numFmtId="0" fontId="0" fillId="0" borderId="0" xfId="0" applyAlignment="1">
      <alignment vertical="top" wrapText="1"/>
    </xf>
    <xf numFmtId="0" fontId="7" fillId="0" borderId="0" xfId="0" applyFont="1" applyAlignment="1">
      <alignment horizontal="left"/>
    </xf>
    <xf numFmtId="0" fontId="7" fillId="0" borderId="0" xfId="0" applyFont="1"/>
    <xf numFmtId="0" fontId="3" fillId="0" borderId="0" xfId="0" applyFont="1" applyAlignment="1">
      <alignment horizontal="center" vertical="center" wrapText="1"/>
    </xf>
    <xf numFmtId="0" fontId="7" fillId="0" borderId="0" xfId="0" applyFont="1" applyAlignment="1">
      <alignment vertical="top" wrapText="1"/>
    </xf>
    <xf numFmtId="0" fontId="7" fillId="0" borderId="0" xfId="0" applyFont="1" applyAlignment="1">
      <alignment vertical="top"/>
    </xf>
    <xf numFmtId="0" fontId="8" fillId="0" borderId="0" xfId="0" applyFont="1" applyAlignment="1">
      <alignment vertical="top" wrapText="1"/>
    </xf>
    <xf numFmtId="0" fontId="7" fillId="0" borderId="0" xfId="0" applyFont="1" applyAlignment="1">
      <alignment horizontal="center" vertical="center" wrapText="1"/>
    </xf>
    <xf numFmtId="0" fontId="7" fillId="0" borderId="0" xfId="0" applyFont="1" applyAlignment="1">
      <alignment vertical="center" wrapText="1"/>
    </xf>
    <xf numFmtId="0" fontId="9" fillId="0" borderId="0" xfId="0" applyFont="1" applyAlignment="1">
      <alignment vertical="center" wrapText="1"/>
    </xf>
    <xf numFmtId="0" fontId="9" fillId="0" borderId="0" xfId="0" applyFont="1" applyAlignment="1">
      <alignment horizontal="right" vertical="center" wrapText="1"/>
    </xf>
    <xf numFmtId="0" fontId="10" fillId="0" borderId="0" xfId="0" applyFont="1" applyAlignment="1">
      <alignment vertical="top" wrapText="1"/>
    </xf>
    <xf numFmtId="0" fontId="7" fillId="0" borderId="6" xfId="0" applyFont="1" applyBorder="1"/>
    <xf numFmtId="0" fontId="8" fillId="0" borderId="0" xfId="0" applyFont="1" applyBorder="1" applyAlignment="1">
      <alignment vertical="center" wrapText="1"/>
    </xf>
    <xf numFmtId="0" fontId="7" fillId="0" borderId="10" xfId="0" applyFont="1" applyBorder="1"/>
    <xf numFmtId="0" fontId="7" fillId="0" borderId="0" xfId="0" applyFont="1" applyBorder="1" applyAlignment="1">
      <alignment vertical="center"/>
    </xf>
    <xf numFmtId="0" fontId="7" fillId="0" borderId="10" xfId="0" applyFont="1" applyBorder="1" applyAlignment="1">
      <alignment vertical="center"/>
    </xf>
    <xf numFmtId="0" fontId="7" fillId="0" borderId="0" xfId="0" applyFont="1" applyBorder="1" applyAlignment="1">
      <alignment horizontal="center" vertical="center" wrapText="1"/>
    </xf>
    <xf numFmtId="0" fontId="7" fillId="0" borderId="0" xfId="0" applyFont="1" applyBorder="1" applyAlignment="1">
      <alignment vertical="center" wrapText="1"/>
    </xf>
    <xf numFmtId="0" fontId="7" fillId="0" borderId="0" xfId="0" applyFont="1" applyBorder="1"/>
    <xf numFmtId="0" fontId="11" fillId="0" borderId="11" xfId="0" applyFont="1" applyBorder="1"/>
    <xf numFmtId="0" fontId="11" fillId="0" borderId="1" xfId="0" applyFont="1" applyBorder="1" applyAlignment="1">
      <alignment vertical="center" wrapText="1"/>
    </xf>
    <xf numFmtId="0" fontId="11" fillId="0" borderId="1" xfId="0" applyFont="1" applyBorder="1" applyAlignment="1">
      <alignment horizontal="center" vertical="center" wrapText="1"/>
    </xf>
    <xf numFmtId="0" fontId="11" fillId="0" borderId="1" xfId="0" applyFont="1" applyBorder="1"/>
    <xf numFmtId="0" fontId="12" fillId="0" borderId="1" xfId="0" applyFont="1" applyBorder="1" applyAlignment="1">
      <alignment vertical="top" wrapText="1"/>
    </xf>
    <xf numFmtId="0" fontId="11" fillId="0" borderId="12" xfId="0" applyFont="1" applyBorder="1"/>
    <xf numFmtId="0" fontId="11" fillId="0" borderId="0" xfId="0" applyFont="1"/>
    <xf numFmtId="0" fontId="11" fillId="0" borderId="6" xfId="0" applyFont="1" applyBorder="1"/>
    <xf numFmtId="0" fontId="11" fillId="0" borderId="10" xfId="0" applyFont="1" applyBorder="1"/>
    <xf numFmtId="0" fontId="13" fillId="0" borderId="0" xfId="0" applyFont="1" applyBorder="1" applyAlignment="1">
      <alignment vertical="center" wrapText="1"/>
    </xf>
    <xf numFmtId="0" fontId="11" fillId="0" borderId="0" xfId="0" applyFont="1" applyBorder="1" applyAlignment="1">
      <alignment vertical="center"/>
    </xf>
    <xf numFmtId="0" fontId="11" fillId="0" borderId="0" xfId="0" applyFont="1" applyBorder="1" applyAlignment="1">
      <alignment vertical="center" wrapText="1"/>
    </xf>
    <xf numFmtId="164" fontId="11" fillId="0" borderId="0" xfId="1" applyNumberFormat="1" applyFont="1" applyBorder="1" applyAlignment="1">
      <alignment horizontal="center" vertical="center" wrapText="1"/>
    </xf>
    <xf numFmtId="0" fontId="11" fillId="0" borderId="0" xfId="0" applyFont="1" applyBorder="1" applyAlignment="1">
      <alignment horizontal="left" vertical="center" wrapText="1"/>
    </xf>
    <xf numFmtId="0" fontId="11" fillId="0" borderId="10" xfId="0" applyFont="1" applyBorder="1" applyAlignment="1">
      <alignment vertical="center"/>
    </xf>
    <xf numFmtId="0" fontId="11" fillId="0" borderId="7" xfId="0" applyFont="1" applyBorder="1"/>
    <xf numFmtId="0" fontId="11" fillId="0" borderId="8" xfId="0" applyFont="1" applyBorder="1" applyAlignment="1">
      <alignment vertical="top" wrapText="1"/>
    </xf>
    <xf numFmtId="0" fontId="11" fillId="0" borderId="8" xfId="0" applyFont="1" applyBorder="1"/>
    <xf numFmtId="0" fontId="11" fillId="0" borderId="9" xfId="0" applyFont="1" applyBorder="1"/>
    <xf numFmtId="0" fontId="11" fillId="0" borderId="8" xfId="0" applyFont="1" applyBorder="1" applyAlignment="1">
      <alignment vertical="center" wrapText="1"/>
    </xf>
    <xf numFmtId="0" fontId="11" fillId="0" borderId="8" xfId="0" applyFont="1" applyBorder="1" applyAlignment="1">
      <alignment horizontal="center" vertical="center" wrapText="1"/>
    </xf>
    <xf numFmtId="0" fontId="12" fillId="0" borderId="8" xfId="0" applyFont="1" applyBorder="1" applyAlignment="1">
      <alignment vertical="top" wrapText="1"/>
    </xf>
    <xf numFmtId="0" fontId="11" fillId="0" borderId="1" xfId="0" applyFont="1" applyBorder="1" applyAlignment="1">
      <alignment vertical="top" wrapText="1"/>
    </xf>
    <xf numFmtId="0" fontId="11" fillId="0" borderId="0" xfId="0" applyFont="1" applyBorder="1"/>
    <xf numFmtId="0" fontId="7" fillId="0" borderId="2" xfId="0" applyFont="1" applyBorder="1" applyAlignment="1" applyProtection="1">
      <alignment horizontal="center" vertical="center" wrapText="1"/>
      <protection locked="0"/>
    </xf>
    <xf numFmtId="0" fontId="3" fillId="0" borderId="1" xfId="0" applyFont="1" applyBorder="1" applyAlignment="1">
      <alignment vertical="center"/>
    </xf>
    <xf numFmtId="0" fontId="14" fillId="0" borderId="0" xfId="0" applyFont="1" applyBorder="1" applyAlignment="1">
      <alignment horizontal="center" vertical="center" wrapText="1"/>
    </xf>
    <xf numFmtId="49" fontId="7" fillId="0" borderId="2" xfId="0" applyNumberFormat="1" applyFont="1" applyBorder="1" applyAlignment="1" applyProtection="1">
      <alignment horizontal="center" vertical="center" wrapText="1"/>
      <protection locked="0"/>
    </xf>
    <xf numFmtId="0" fontId="16" fillId="0" borderId="0" xfId="0" applyFont="1" applyAlignment="1">
      <alignment horizontal="center"/>
    </xf>
    <xf numFmtId="0" fontId="11" fillId="0" borderId="0" xfId="0" applyFont="1" applyBorder="1" applyAlignment="1">
      <alignment horizontal="left" vertical="center"/>
    </xf>
    <xf numFmtId="1" fontId="0" fillId="0" borderId="0" xfId="0" applyNumberFormat="1"/>
    <xf numFmtId="0" fontId="18" fillId="0" borderId="0" xfId="0" applyFont="1" applyFill="1" applyBorder="1"/>
    <xf numFmtId="0" fontId="0" fillId="0" borderId="0" xfId="0" applyAlignment="1">
      <alignment vertical="center"/>
    </xf>
    <xf numFmtId="0" fontId="19" fillId="0" borderId="0" xfId="0" applyFont="1" applyBorder="1"/>
    <xf numFmtId="1" fontId="19" fillId="0" borderId="0" xfId="0" applyNumberFormat="1" applyFont="1" applyBorder="1"/>
    <xf numFmtId="0" fontId="21" fillId="0" borderId="0" xfId="0" applyFont="1"/>
    <xf numFmtId="0" fontId="20" fillId="0" borderId="0" xfId="0" applyFont="1" applyAlignment="1">
      <alignment vertical="center"/>
    </xf>
    <xf numFmtId="0" fontId="20" fillId="0" borderId="0" xfId="0" applyFont="1" applyAlignment="1">
      <alignment horizontal="left" vertical="center"/>
    </xf>
    <xf numFmtId="10" fontId="20" fillId="0" borderId="0" xfId="2" applyNumberFormat="1" applyFont="1" applyAlignment="1">
      <alignment horizontal="left" vertical="center"/>
    </xf>
    <xf numFmtId="0" fontId="22" fillId="0" borderId="0" xfId="0" applyFont="1" applyAlignment="1">
      <alignment vertical="center"/>
    </xf>
    <xf numFmtId="10" fontId="9" fillId="0" borderId="0" xfId="2" applyNumberFormat="1" applyFont="1" applyBorder="1" applyAlignment="1">
      <alignment horizontal="center" vertical="center" wrapText="1"/>
    </xf>
    <xf numFmtId="164" fontId="20" fillId="0" borderId="0" xfId="1" applyFont="1" applyAlignment="1">
      <alignment vertical="center"/>
    </xf>
    <xf numFmtId="164" fontId="20" fillId="0" borderId="0" xfId="1" applyNumberFormat="1" applyFont="1" applyAlignment="1">
      <alignment vertical="center"/>
    </xf>
    <xf numFmtId="164" fontId="20" fillId="2" borderId="0" xfId="1" applyFont="1" applyFill="1" applyAlignment="1">
      <alignment vertical="center"/>
    </xf>
    <xf numFmtId="0" fontId="7" fillId="0" borderId="1" xfId="0" applyFont="1" applyBorder="1"/>
    <xf numFmtId="164" fontId="7" fillId="0" borderId="0" xfId="1" applyNumberFormat="1" applyFont="1" applyBorder="1" applyAlignment="1" applyProtection="1">
      <alignment horizontal="center" vertical="center" wrapText="1"/>
      <protection locked="0"/>
    </xf>
    <xf numFmtId="0" fontId="7" fillId="0" borderId="0" xfId="0" applyFont="1" applyBorder="1" applyAlignment="1" applyProtection="1">
      <alignment horizontal="center" vertical="center" wrapText="1"/>
      <protection locked="0"/>
    </xf>
    <xf numFmtId="164" fontId="7" fillId="0" borderId="0" xfId="1" applyNumberFormat="1" applyFont="1" applyBorder="1" applyAlignment="1">
      <alignment horizontal="center" vertical="center" wrapText="1"/>
    </xf>
    <xf numFmtId="0" fontId="8" fillId="0" borderId="0" xfId="0" applyFont="1" applyBorder="1" applyAlignment="1">
      <alignment horizontal="left" vertical="center" wrapText="1"/>
    </xf>
    <xf numFmtId="0" fontId="24" fillId="0" borderId="0" xfId="0" applyFont="1" applyFill="1" applyBorder="1"/>
    <xf numFmtId="0" fontId="19" fillId="0" borderId="0" xfId="0" applyFont="1"/>
    <xf numFmtId="0" fontId="25" fillId="0" borderId="0" xfId="3" applyFont="1" applyAlignment="1" applyProtection="1"/>
    <xf numFmtId="164" fontId="19" fillId="0" borderId="0" xfId="0" applyNumberFormat="1" applyFont="1"/>
    <xf numFmtId="4" fontId="23" fillId="0" borderId="0" xfId="0" applyNumberFormat="1" applyFont="1"/>
    <xf numFmtId="0" fontId="19" fillId="0" borderId="7" xfId="0" applyFont="1" applyBorder="1"/>
    <xf numFmtId="0" fontId="19" fillId="0" borderId="8" xfId="0" applyFont="1" applyBorder="1"/>
    <xf numFmtId="0" fontId="19" fillId="0" borderId="9" xfId="0" applyFont="1" applyBorder="1"/>
    <xf numFmtId="0" fontId="19" fillId="0" borderId="6" xfId="0" applyFont="1" applyBorder="1"/>
    <xf numFmtId="0" fontId="19" fillId="0" borderId="10" xfId="0" applyFont="1" applyBorder="1"/>
    <xf numFmtId="1" fontId="19" fillId="0" borderId="6" xfId="0" applyNumberFormat="1" applyFont="1" applyBorder="1"/>
    <xf numFmtId="1" fontId="19" fillId="0" borderId="10" xfId="0" applyNumberFormat="1" applyFont="1" applyBorder="1"/>
    <xf numFmtId="0" fontId="19" fillId="0" borderId="11" xfId="0" applyFont="1" applyBorder="1"/>
    <xf numFmtId="0" fontId="19" fillId="0" borderId="1" xfId="0" applyFont="1" applyBorder="1"/>
    <xf numFmtId="0" fontId="19" fillId="0" borderId="12" xfId="0" applyFont="1" applyBorder="1"/>
    <xf numFmtId="0" fontId="26" fillId="0" borderId="0" xfId="0" applyFont="1"/>
    <xf numFmtId="0" fontId="27" fillId="0" borderId="0" xfId="0" applyFont="1"/>
    <xf numFmtId="0" fontId="28" fillId="0" borderId="0" xfId="0" applyFont="1"/>
    <xf numFmtId="0" fontId="11" fillId="0" borderId="0" xfId="0" applyFont="1" applyAlignment="1">
      <alignment vertical="center"/>
    </xf>
    <xf numFmtId="0" fontId="29" fillId="0" borderId="0" xfId="0" applyFont="1"/>
    <xf numFmtId="0" fontId="29" fillId="0" borderId="0" xfId="0" applyFont="1" applyAlignment="1">
      <alignment vertical="center"/>
    </xf>
    <xf numFmtId="0" fontId="20" fillId="2" borderId="0" xfId="0" applyFont="1" applyFill="1" applyAlignment="1">
      <alignment horizontal="left" vertical="center"/>
    </xf>
    <xf numFmtId="0" fontId="20" fillId="3" borderId="0" xfId="0" applyFont="1" applyFill="1" applyAlignment="1">
      <alignment vertical="center"/>
    </xf>
    <xf numFmtId="0" fontId="20" fillId="3" borderId="0" xfId="0" applyFont="1" applyFill="1" applyAlignment="1">
      <alignment horizontal="left" vertical="center"/>
    </xf>
    <xf numFmtId="0" fontId="23" fillId="3" borderId="0" xfId="0" applyFont="1" applyFill="1" applyAlignment="1">
      <alignment vertical="center"/>
    </xf>
    <xf numFmtId="10" fontId="7" fillId="0" borderId="2" xfId="2" applyNumberFormat="1" applyFont="1" applyBorder="1" applyAlignment="1" applyProtection="1">
      <alignment horizontal="center" vertical="center" wrapText="1"/>
    </xf>
    <xf numFmtId="0" fontId="31" fillId="0" borderId="0" xfId="0" applyFont="1" applyAlignment="1">
      <alignment vertical="center"/>
    </xf>
    <xf numFmtId="0" fontId="19" fillId="0" borderId="0" xfId="0" applyFont="1" applyAlignment="1">
      <alignment vertical="center"/>
    </xf>
    <xf numFmtId="0" fontId="32" fillId="4" borderId="0" xfId="0" applyFont="1" applyFill="1" applyBorder="1" applyAlignment="1">
      <alignment horizontal="center" vertical="center"/>
    </xf>
    <xf numFmtId="0" fontId="32" fillId="4" borderId="0" xfId="0" applyFont="1" applyFill="1" applyAlignment="1">
      <alignment horizontal="center" vertical="center"/>
    </xf>
    <xf numFmtId="0" fontId="32" fillId="4" borderId="0" xfId="0" applyFont="1" applyFill="1" applyAlignment="1">
      <alignment horizontal="center" vertical="center" wrapText="1"/>
    </xf>
    <xf numFmtId="0" fontId="19" fillId="0" borderId="0" xfId="0" applyFont="1" applyFill="1" applyAlignment="1">
      <alignment horizontal="center" vertical="center"/>
    </xf>
    <xf numFmtId="164" fontId="19" fillId="0" borderId="0" xfId="0" applyNumberFormat="1" applyFont="1" applyFill="1" applyAlignment="1">
      <alignment vertical="center"/>
    </xf>
    <xf numFmtId="165" fontId="19" fillId="0" borderId="0" xfId="0" applyNumberFormat="1" applyFont="1" applyFill="1" applyAlignment="1">
      <alignment vertical="center"/>
    </xf>
    <xf numFmtId="0" fontId="33" fillId="0" borderId="0" xfId="0" applyFont="1"/>
    <xf numFmtId="0" fontId="34" fillId="0" borderId="0" xfId="0" applyFont="1" applyFill="1" applyBorder="1" applyAlignment="1">
      <alignment horizontal="center" vertical="center" wrapText="1"/>
    </xf>
    <xf numFmtId="3" fontId="34" fillId="0" borderId="0" xfId="0" applyNumberFormat="1" applyFont="1" applyFill="1" applyBorder="1" applyAlignment="1">
      <alignment horizontal="center" vertical="center" wrapText="1"/>
    </xf>
    <xf numFmtId="0" fontId="35" fillId="0" borderId="0" xfId="0" applyFont="1" applyAlignment="1">
      <alignment vertical="center"/>
    </xf>
    <xf numFmtId="0" fontId="21" fillId="0" borderId="0" xfId="0" applyFont="1" applyAlignment="1">
      <alignment horizontal="center" vertical="center"/>
    </xf>
    <xf numFmtId="0" fontId="36" fillId="0" borderId="0" xfId="0" applyFont="1" applyFill="1" applyBorder="1" applyAlignment="1">
      <alignment horizontal="center" vertical="center" wrapText="1"/>
    </xf>
    <xf numFmtId="10" fontId="36" fillId="0" borderId="0" xfId="0" applyNumberFormat="1" applyFont="1" applyFill="1" applyBorder="1" applyAlignment="1">
      <alignment horizontal="center" vertical="center" wrapText="1"/>
    </xf>
    <xf numFmtId="0" fontId="36" fillId="0" borderId="0" xfId="0" applyFont="1" applyFill="1" applyBorder="1" applyAlignment="1">
      <alignment horizontal="left" vertical="center" wrapText="1"/>
    </xf>
    <xf numFmtId="0" fontId="33" fillId="0" borderId="13" xfId="0" applyFont="1" applyFill="1" applyBorder="1" applyAlignment="1">
      <alignment vertical="center" wrapText="1"/>
    </xf>
    <xf numFmtId="164" fontId="21" fillId="0" borderId="13" xfId="1" applyFont="1" applyFill="1" applyBorder="1" applyAlignment="1">
      <alignment horizontal="right" vertical="center"/>
    </xf>
    <xf numFmtId="0" fontId="21" fillId="0" borderId="0" xfId="0" applyFont="1" applyAlignment="1">
      <alignment horizontal="left"/>
    </xf>
    <xf numFmtId="165" fontId="21" fillId="0" borderId="13" xfId="1" applyNumberFormat="1" applyFont="1" applyFill="1" applyBorder="1" applyAlignment="1">
      <alignment horizontal="right" vertical="center"/>
    </xf>
    <xf numFmtId="10" fontId="21" fillId="2" borderId="13" xfId="0" applyNumberFormat="1" applyFont="1" applyFill="1" applyBorder="1" applyAlignment="1">
      <alignment horizontal="right" vertical="center"/>
    </xf>
    <xf numFmtId="165" fontId="21" fillId="2" borderId="13" xfId="0" applyNumberFormat="1" applyFont="1" applyFill="1" applyBorder="1" applyAlignment="1">
      <alignment horizontal="right" vertical="center"/>
    </xf>
    <xf numFmtId="0" fontId="7" fillId="0" borderId="0" xfId="0" applyFont="1" applyBorder="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left" vertical="center"/>
    </xf>
    <xf numFmtId="49" fontId="7" fillId="0" borderId="0" xfId="0" applyNumberFormat="1" applyFont="1" applyBorder="1" applyAlignment="1" applyProtection="1">
      <alignment horizontal="center" vertical="center" wrapText="1"/>
      <protection locked="0"/>
    </xf>
    <xf numFmtId="0" fontId="3" fillId="0" borderId="0" xfId="0" applyFont="1" applyBorder="1" applyAlignment="1">
      <alignment vertical="center"/>
    </xf>
    <xf numFmtId="0" fontId="3" fillId="0" borderId="0" xfId="0" applyFont="1" applyAlignment="1">
      <alignment vertical="center"/>
    </xf>
    <xf numFmtId="0" fontId="3" fillId="0" borderId="0" xfId="0" applyFont="1" applyAlignment="1">
      <alignment vertical="center" wrapText="1"/>
    </xf>
    <xf numFmtId="0" fontId="3" fillId="0" borderId="0" xfId="0" applyFont="1" applyAlignment="1">
      <alignment horizontal="center" vertical="center"/>
    </xf>
    <xf numFmtId="0" fontId="7" fillId="0" borderId="0" xfId="0" applyFont="1" applyBorder="1" applyAlignment="1" applyProtection="1">
      <alignment horizontal="left" vertical="center" wrapText="1"/>
      <protection locked="0"/>
    </xf>
    <xf numFmtId="49" fontId="7" fillId="0" borderId="0" xfId="0" quotePrefix="1" applyNumberFormat="1" applyFont="1" applyBorder="1" applyAlignment="1" applyProtection="1">
      <alignment horizontal="center" vertical="center" wrapText="1"/>
      <protection locked="0"/>
    </xf>
    <xf numFmtId="0" fontId="7" fillId="6" borderId="6" xfId="0" applyFont="1" applyFill="1" applyBorder="1"/>
    <xf numFmtId="0" fontId="7" fillId="6" borderId="10" xfId="0" applyFont="1" applyFill="1" applyBorder="1"/>
    <xf numFmtId="0" fontId="7" fillId="0" borderId="0" xfId="0" applyFont="1" applyAlignment="1">
      <alignment horizontal="left" vertical="center"/>
    </xf>
    <xf numFmtId="0" fontId="5" fillId="0" borderId="0" xfId="0" applyFont="1" applyAlignment="1">
      <alignment horizontal="center" vertical="center" wrapText="1"/>
    </xf>
    <xf numFmtId="0" fontId="4" fillId="0" borderId="0" xfId="0" applyFont="1" applyAlignment="1">
      <alignment vertical="center"/>
    </xf>
    <xf numFmtId="0" fontId="7" fillId="0" borderId="0" xfId="0" applyFont="1" applyAlignment="1">
      <alignment vertical="center"/>
    </xf>
    <xf numFmtId="14" fontId="3" fillId="0" borderId="0" xfId="0" applyNumberFormat="1" applyFont="1" applyAlignment="1">
      <alignment horizontal="right" vertical="center"/>
    </xf>
    <xf numFmtId="14" fontId="3" fillId="0" borderId="0" xfId="0" applyNumberFormat="1" applyFont="1" applyAlignment="1">
      <alignment vertical="center"/>
    </xf>
    <xf numFmtId="0" fontId="3" fillId="5" borderId="0" xfId="0" applyFont="1" applyFill="1" applyAlignment="1">
      <alignment horizontal="left" vertical="center"/>
    </xf>
    <xf numFmtId="0" fontId="3" fillId="0" borderId="0" xfId="0" applyFont="1" applyAlignment="1">
      <alignment horizontal="justify" vertical="center"/>
    </xf>
    <xf numFmtId="0" fontId="7" fillId="0" borderId="0" xfId="0" applyFont="1" applyAlignment="1">
      <alignment horizontal="left" vertical="center" wrapText="1"/>
    </xf>
    <xf numFmtId="0" fontId="0" fillId="0" borderId="0" xfId="0" applyAlignment="1">
      <alignment vertical="center" wrapText="1"/>
    </xf>
    <xf numFmtId="0" fontId="7" fillId="0" borderId="0" xfId="0" applyFont="1" applyAlignment="1">
      <alignment horizontal="justify" vertical="center" wrapText="1"/>
    </xf>
    <xf numFmtId="0" fontId="3" fillId="0" borderId="1" xfId="0" applyFont="1" applyBorder="1" applyAlignment="1">
      <alignment horizontal="justify" vertical="center"/>
    </xf>
    <xf numFmtId="0" fontId="0" fillId="0" borderId="1" xfId="0" applyBorder="1" applyAlignment="1">
      <alignment vertical="center"/>
    </xf>
    <xf numFmtId="0" fontId="3" fillId="0" borderId="0" xfId="0" applyFont="1" applyBorder="1" applyAlignment="1">
      <alignment horizontal="justify" vertical="center"/>
    </xf>
    <xf numFmtId="3" fontId="34" fillId="2" borderId="0" xfId="0" applyNumberFormat="1" applyFont="1" applyFill="1" applyBorder="1" applyAlignment="1">
      <alignment horizontal="center" vertical="center" wrapText="1"/>
    </xf>
    <xf numFmtId="10" fontId="36" fillId="2" borderId="0" xfId="0" applyNumberFormat="1" applyFont="1" applyFill="1" applyBorder="1" applyAlignment="1">
      <alignment horizontal="center" vertical="center" wrapText="1"/>
    </xf>
    <xf numFmtId="0" fontId="7" fillId="2" borderId="0" xfId="0" applyFont="1" applyFill="1" applyAlignment="1">
      <alignment horizontal="left" vertical="center"/>
    </xf>
    <xf numFmtId="0" fontId="30" fillId="2" borderId="0" xfId="0" quotePrefix="1" applyFont="1" applyFill="1" applyAlignment="1">
      <alignment horizontal="right" vertical="center"/>
    </xf>
    <xf numFmtId="0" fontId="42" fillId="2" borderId="0" xfId="0" quotePrefix="1" applyFont="1" applyFill="1" applyAlignment="1">
      <alignment horizontal="right" vertical="center"/>
    </xf>
    <xf numFmtId="0" fontId="3"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horizontal="left" vertical="center"/>
    </xf>
    <xf numFmtId="49" fontId="7" fillId="0" borderId="3" xfId="0" applyNumberFormat="1" applyFont="1" applyBorder="1" applyAlignment="1" applyProtection="1">
      <alignment horizontal="center" vertical="center" wrapText="1"/>
      <protection locked="0"/>
    </xf>
    <xf numFmtId="49" fontId="7" fillId="0" borderId="4" xfId="0" applyNumberFormat="1" applyFont="1" applyBorder="1" applyAlignment="1" applyProtection="1">
      <alignment horizontal="center" vertical="center" wrapText="1"/>
      <protection locked="0"/>
    </xf>
    <xf numFmtId="49" fontId="7" fillId="0" borderId="5" xfId="0" applyNumberFormat="1" applyFont="1" applyBorder="1" applyAlignment="1" applyProtection="1">
      <alignment horizontal="center" vertical="center" wrapText="1"/>
      <protection locked="0"/>
    </xf>
    <xf numFmtId="0" fontId="8" fillId="6" borderId="0" xfId="0" applyFont="1" applyFill="1" applyBorder="1" applyAlignment="1">
      <alignment horizontal="left" vertical="center" wrapText="1"/>
    </xf>
    <xf numFmtId="0" fontId="7" fillId="0" borderId="3" xfId="0" applyFont="1" applyBorder="1" applyAlignment="1" applyProtection="1">
      <alignment horizontal="left" vertical="center" wrapText="1"/>
      <protection locked="0"/>
    </xf>
    <xf numFmtId="0" fontId="7" fillId="0" borderId="4" xfId="0" applyFont="1" applyBorder="1" applyAlignment="1" applyProtection="1">
      <alignment horizontal="left" vertical="center" wrapText="1"/>
      <protection locked="0"/>
    </xf>
    <xf numFmtId="0" fontId="7" fillId="0" borderId="5" xfId="0" applyFont="1" applyBorder="1" applyAlignment="1" applyProtection="1">
      <alignment horizontal="left" vertical="center" wrapText="1"/>
      <protection locked="0"/>
    </xf>
    <xf numFmtId="0" fontId="17" fillId="0" borderId="3" xfId="3" applyBorder="1" applyAlignment="1" applyProtection="1">
      <alignment vertical="center"/>
      <protection locked="0"/>
    </xf>
    <xf numFmtId="0" fontId="0" fillId="0" borderId="4" xfId="0" applyBorder="1" applyAlignment="1" applyProtection="1">
      <alignment vertical="center"/>
      <protection locked="0"/>
    </xf>
    <xf numFmtId="0" fontId="0" fillId="0" borderId="5" xfId="0" applyBorder="1" applyAlignment="1" applyProtection="1">
      <alignment vertical="center"/>
      <protection locked="0"/>
    </xf>
    <xf numFmtId="0" fontId="11" fillId="0" borderId="0" xfId="0" applyFont="1" applyAlignment="1">
      <alignment horizontal="left" vertical="center" wrapText="1"/>
    </xf>
    <xf numFmtId="0" fontId="14" fillId="0" borderId="0" xfId="0" applyFont="1" applyAlignment="1">
      <alignment horizontal="center" vertical="center" wrapText="1"/>
    </xf>
    <xf numFmtId="49" fontId="7" fillId="0" borderId="3" xfId="0" quotePrefix="1" applyNumberFormat="1" applyFont="1" applyBorder="1" applyAlignment="1" applyProtection="1">
      <alignment horizontal="center" vertical="center" wrapText="1"/>
      <protection locked="0"/>
    </xf>
    <xf numFmtId="49" fontId="7" fillId="0" borderId="4" xfId="0" quotePrefix="1" applyNumberFormat="1" applyFont="1" applyBorder="1" applyAlignment="1" applyProtection="1">
      <alignment horizontal="center" vertical="center" wrapText="1"/>
      <protection locked="0"/>
    </xf>
    <xf numFmtId="164" fontId="7" fillId="0" borderId="3" xfId="1" applyNumberFormat="1" applyFont="1" applyBorder="1" applyAlignment="1" applyProtection="1">
      <alignment horizontal="center" vertical="center" wrapText="1"/>
      <protection locked="0"/>
    </xf>
    <xf numFmtId="164" fontId="7" fillId="0" borderId="4" xfId="1" applyNumberFormat="1" applyFont="1" applyBorder="1" applyAlignment="1" applyProtection="1">
      <alignment horizontal="center" vertical="center" wrapText="1"/>
      <protection locked="0"/>
    </xf>
    <xf numFmtId="164" fontId="7" fillId="0" borderId="5" xfId="1" applyNumberFormat="1" applyFont="1" applyBorder="1" applyAlignment="1" applyProtection="1">
      <alignment horizontal="center" vertical="center" wrapText="1"/>
      <protection locked="0"/>
    </xf>
    <xf numFmtId="164" fontId="7" fillId="0" borderId="3" xfId="1" applyNumberFormat="1" applyFont="1" applyBorder="1" applyAlignment="1" applyProtection="1">
      <alignment horizontal="center" vertical="center" wrapText="1"/>
    </xf>
    <xf numFmtId="164" fontId="7" fillId="0" borderId="4" xfId="1" applyNumberFormat="1" applyFont="1" applyBorder="1" applyAlignment="1" applyProtection="1">
      <alignment horizontal="center" vertical="center" wrapText="1"/>
    </xf>
    <xf numFmtId="164" fontId="7" fillId="0" borderId="5" xfId="1" applyNumberFormat="1" applyFont="1" applyBorder="1" applyAlignment="1" applyProtection="1">
      <alignment horizontal="center" vertical="center" wrapText="1"/>
    </xf>
    <xf numFmtId="0" fontId="10" fillId="0" borderId="0" xfId="0" applyFont="1" applyBorder="1" applyAlignment="1">
      <alignment horizontal="right" vertical="top" wrapText="1"/>
    </xf>
    <xf numFmtId="0" fontId="7" fillId="0" borderId="3" xfId="0" applyFont="1" applyBorder="1" applyAlignment="1" applyProtection="1">
      <alignment horizontal="center" vertical="center" wrapText="1"/>
      <protection locked="0"/>
    </xf>
    <xf numFmtId="0" fontId="7" fillId="0" borderId="4" xfId="0" applyFont="1" applyBorder="1" applyAlignment="1" applyProtection="1">
      <alignment horizontal="center" vertical="center" wrapText="1"/>
      <protection locked="0"/>
    </xf>
    <xf numFmtId="0" fontId="7" fillId="0" borderId="5" xfId="0" applyFont="1" applyBorder="1" applyAlignment="1" applyProtection="1">
      <alignment horizontal="center" vertical="center" wrapText="1"/>
      <protection locked="0"/>
    </xf>
    <xf numFmtId="0" fontId="7" fillId="0" borderId="6" xfId="0" applyFont="1" applyBorder="1" applyAlignment="1">
      <alignment horizontal="center" vertical="center" wrapText="1"/>
    </xf>
    <xf numFmtId="0" fontId="7" fillId="0" borderId="0" xfId="0" applyFont="1" applyBorder="1" applyAlignment="1">
      <alignment horizontal="center" vertical="center" wrapText="1"/>
    </xf>
    <xf numFmtId="49" fontId="20" fillId="0" borderId="0" xfId="0" applyNumberFormat="1" applyFont="1" applyFill="1" applyAlignment="1">
      <alignment horizontal="center" vertical="center"/>
    </xf>
    <xf numFmtId="0" fontId="3" fillId="0" borderId="0" xfId="0" applyFont="1" applyAlignment="1">
      <alignment horizontal="justify" vertical="center" wrapText="1"/>
    </xf>
    <xf numFmtId="0" fontId="15" fillId="0" borderId="0" xfId="0" applyFont="1" applyAlignment="1">
      <alignment horizontal="center" vertical="center"/>
    </xf>
    <xf numFmtId="0" fontId="3" fillId="0" borderId="0" xfId="0" applyFont="1" applyAlignment="1">
      <alignment horizontal="right" vertical="center"/>
    </xf>
    <xf numFmtId="0" fontId="3" fillId="0" borderId="0" xfId="0" applyFont="1" applyAlignment="1">
      <alignment horizontal="left" vertical="center"/>
    </xf>
    <xf numFmtId="0" fontId="3" fillId="0" borderId="0" xfId="0" applyFont="1" applyBorder="1" applyAlignment="1">
      <alignment horizontal="center" vertical="center"/>
    </xf>
    <xf numFmtId="0" fontId="3" fillId="0" borderId="0" xfId="0" applyFont="1" applyBorder="1" applyAlignment="1">
      <alignment horizontal="distributed" vertical="center"/>
    </xf>
    <xf numFmtId="0" fontId="40" fillId="5" borderId="0" xfId="0" applyFont="1" applyFill="1" applyAlignment="1">
      <alignment horizontal="center" vertical="center" wrapText="1"/>
    </xf>
    <xf numFmtId="0" fontId="6" fillId="0" borderId="2" xfId="0" applyFont="1" applyBorder="1" applyAlignment="1">
      <alignment horizontal="center" vertical="center"/>
    </xf>
    <xf numFmtId="2" fontId="6" fillId="0" borderId="2" xfId="0" applyNumberFormat="1" applyFont="1" applyBorder="1" applyAlignment="1">
      <alignment horizontal="center" vertical="center"/>
    </xf>
    <xf numFmtId="0" fontId="3" fillId="0" borderId="0" xfId="0" applyFont="1" applyAlignment="1">
      <alignment horizontal="left" vertical="center" wrapText="1"/>
    </xf>
    <xf numFmtId="0" fontId="3" fillId="5" borderId="0" xfId="0" applyFont="1" applyFill="1" applyAlignment="1">
      <alignment horizontal="left" vertical="center" wrapText="1"/>
    </xf>
    <xf numFmtId="0" fontId="3" fillId="0" borderId="8" xfId="0" applyFont="1" applyBorder="1" applyAlignment="1">
      <alignment horizontal="left" vertical="center"/>
    </xf>
    <xf numFmtId="0" fontId="37" fillId="0" borderId="0" xfId="0" applyFont="1" applyAlignment="1">
      <alignment horizontal="justify" vertical="center" wrapText="1"/>
    </xf>
    <xf numFmtId="0" fontId="2" fillId="0" borderId="0" xfId="0" applyFont="1" applyAlignment="1">
      <alignment horizontal="justify" vertical="center" wrapText="1"/>
    </xf>
    <xf numFmtId="0" fontId="39" fillId="0" borderId="2" xfId="0" applyFont="1" applyBorder="1" applyAlignment="1">
      <alignment horizontal="center" vertical="center"/>
    </xf>
    <xf numFmtId="0" fontId="3" fillId="0" borderId="0" xfId="0" applyFont="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wrapText="1"/>
    </xf>
    <xf numFmtId="0" fontId="20" fillId="0" borderId="0" xfId="0" applyFont="1" applyAlignment="1">
      <alignment horizontal="left" vertical="center" wrapText="1"/>
    </xf>
    <xf numFmtId="2" fontId="6" fillId="2" borderId="2" xfId="0" applyNumberFormat="1" applyFont="1" applyFill="1" applyBorder="1" applyAlignment="1">
      <alignment horizontal="center" vertical="center"/>
    </xf>
  </cellXfs>
  <cellStyles count="4">
    <cellStyle name="Hipervínculo" xfId="3" builtinId="8"/>
    <cellStyle name="Millares" xfId="1" builtinId="3"/>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15</xdr:col>
      <xdr:colOff>230045</xdr:colOff>
      <xdr:row>0</xdr:row>
      <xdr:rowOff>132949</xdr:rowOff>
    </xdr:from>
    <xdr:to>
      <xdr:col>16</xdr:col>
      <xdr:colOff>718021</xdr:colOff>
      <xdr:row>1</xdr:row>
      <xdr:rowOff>149087</xdr:rowOff>
    </xdr:to>
    <xdr:pic>
      <xdr:nvPicPr>
        <xdr:cNvPr id="2" name="3 Imagen" descr="D:\Documents and Settings\b26628\Configuración local\Archivos temporales de Internet\Content.Word\LOGO IBK-01.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3945" y="132949"/>
          <a:ext cx="868976" cy="225688"/>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15</xdr:col>
      <xdr:colOff>230045</xdr:colOff>
      <xdr:row>0</xdr:row>
      <xdr:rowOff>132949</xdr:rowOff>
    </xdr:from>
    <xdr:to>
      <xdr:col>16</xdr:col>
      <xdr:colOff>718021</xdr:colOff>
      <xdr:row>1</xdr:row>
      <xdr:rowOff>149087</xdr:rowOff>
    </xdr:to>
    <xdr:pic>
      <xdr:nvPicPr>
        <xdr:cNvPr id="4" name="3 Imagen" descr="D:\Documents and Settings\b26628\Configuración local\Archivos temporales de Internet\Content.Word\LOGO IBK-01.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77197" y="132949"/>
          <a:ext cx="868976" cy="223203"/>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BMZ\dd\ARCHIIAP\info\Documentos%20Constant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TRATÉGICA"/>
      <sheetName val="EJECUCIÓN"/>
      <sheetName val="CDP"/>
      <sheetName val="REGISTRO PRESUPUESTAL"/>
      <sheetName val="RESOLUCIÓN DE PAGO"/>
    </sheetNames>
    <sheetDataSet>
      <sheetData sheetId="0"/>
      <sheetData sheetId="1">
        <row r="19">
          <cell r="G19">
            <v>551</v>
          </cell>
          <cell r="J19">
            <v>45642378</v>
          </cell>
        </row>
        <row r="20">
          <cell r="G20">
            <v>552</v>
          </cell>
          <cell r="J20">
            <v>-2000000</v>
          </cell>
        </row>
        <row r="21">
          <cell r="G21">
            <v>553</v>
          </cell>
          <cell r="J21">
            <v>-11000000</v>
          </cell>
        </row>
        <row r="22">
          <cell r="G22">
            <v>554</v>
          </cell>
          <cell r="J22">
            <v>-3000000</v>
          </cell>
        </row>
        <row r="23">
          <cell r="G23">
            <v>555</v>
          </cell>
          <cell r="J23">
            <v>-2000000</v>
          </cell>
        </row>
        <row r="24">
          <cell r="J24">
            <v>-8000000</v>
          </cell>
        </row>
        <row r="25">
          <cell r="J25">
            <v>22000000</v>
          </cell>
        </row>
        <row r="26">
          <cell r="J26">
            <v>22000000</v>
          </cell>
        </row>
        <row r="27">
          <cell r="G27">
            <v>556</v>
          </cell>
          <cell r="J27">
            <v>-8000000</v>
          </cell>
        </row>
        <row r="28">
          <cell r="G28">
            <v>557</v>
          </cell>
          <cell r="J28">
            <v>-2000000</v>
          </cell>
        </row>
        <row r="29">
          <cell r="G29">
            <v>558</v>
          </cell>
          <cell r="J29">
            <v>-2000000</v>
          </cell>
        </row>
        <row r="30">
          <cell r="G30">
            <v>559</v>
          </cell>
          <cell r="J30">
            <v>-2000000</v>
          </cell>
        </row>
        <row r="31">
          <cell r="G31">
            <v>560</v>
          </cell>
          <cell r="J31">
            <v>-2000000</v>
          </cell>
        </row>
        <row r="32">
          <cell r="J32">
            <v>-2000000</v>
          </cell>
        </row>
        <row r="33">
          <cell r="J33">
            <v>-8000000</v>
          </cell>
        </row>
        <row r="34">
          <cell r="J34">
            <v>9950000</v>
          </cell>
        </row>
        <row r="35">
          <cell r="G35">
            <v>561</v>
          </cell>
          <cell r="J35">
            <v>9950000</v>
          </cell>
        </row>
        <row r="36">
          <cell r="G36">
            <v>562</v>
          </cell>
          <cell r="J36">
            <v>-8000000</v>
          </cell>
        </row>
        <row r="37">
          <cell r="G37">
            <v>563</v>
          </cell>
          <cell r="J37">
            <v>-2050000</v>
          </cell>
        </row>
        <row r="38">
          <cell r="G38">
            <v>564</v>
          </cell>
          <cell r="J38">
            <v>-2000000</v>
          </cell>
        </row>
        <row r="39">
          <cell r="G39">
            <v>565</v>
          </cell>
          <cell r="J39">
            <v>-2000000</v>
          </cell>
        </row>
        <row r="40">
          <cell r="G40">
            <v>566</v>
          </cell>
          <cell r="J40">
            <v>-2000000</v>
          </cell>
        </row>
        <row r="41">
          <cell r="J41">
            <v>33000000</v>
          </cell>
        </row>
        <row r="42">
          <cell r="J42">
            <v>33000000</v>
          </cell>
        </row>
        <row r="43">
          <cell r="J43">
            <v>-8000000</v>
          </cell>
        </row>
        <row r="44">
          <cell r="J44">
            <v>0</v>
          </cell>
        </row>
        <row r="45">
          <cell r="J45">
            <v>-3000000</v>
          </cell>
        </row>
        <row r="46">
          <cell r="G46">
            <v>567</v>
          </cell>
          <cell r="J46">
            <v>-1000000</v>
          </cell>
        </row>
        <row r="47">
          <cell r="G47">
            <v>568</v>
          </cell>
          <cell r="J47">
            <v>-1000000</v>
          </cell>
        </row>
        <row r="48">
          <cell r="G48">
            <v>569</v>
          </cell>
          <cell r="J48">
            <v>-1000000</v>
          </cell>
        </row>
        <row r="49">
          <cell r="G49">
            <v>570</v>
          </cell>
          <cell r="J49">
            <v>-1000000</v>
          </cell>
        </row>
        <row r="50">
          <cell r="G50">
            <v>571</v>
          </cell>
          <cell r="J50">
            <v>-8000000</v>
          </cell>
        </row>
        <row r="51">
          <cell r="G51">
            <v>572</v>
          </cell>
          <cell r="J51">
            <v>55000000</v>
          </cell>
        </row>
        <row r="52">
          <cell r="J52">
            <v>55000000</v>
          </cell>
        </row>
        <row r="53">
          <cell r="J53">
            <v>-8000000</v>
          </cell>
        </row>
        <row r="54">
          <cell r="J54">
            <v>-1000000</v>
          </cell>
        </row>
        <row r="55">
          <cell r="G55">
            <v>573</v>
          </cell>
          <cell r="J55">
            <v>-1000000</v>
          </cell>
        </row>
        <row r="56">
          <cell r="G56">
            <v>574</v>
          </cell>
          <cell r="J56">
            <v>-1000000</v>
          </cell>
        </row>
        <row r="57">
          <cell r="G57">
            <v>575</v>
          </cell>
          <cell r="J57">
            <v>-1000000</v>
          </cell>
        </row>
        <row r="58">
          <cell r="G58">
            <v>576</v>
          </cell>
          <cell r="J58">
            <v>-1000000</v>
          </cell>
        </row>
        <row r="59">
          <cell r="G59">
            <v>577</v>
          </cell>
          <cell r="J59">
            <v>-1000000</v>
          </cell>
        </row>
        <row r="60">
          <cell r="G60">
            <v>578</v>
          </cell>
          <cell r="J60">
            <v>-1000000</v>
          </cell>
        </row>
        <row r="61">
          <cell r="G61">
            <v>579</v>
          </cell>
          <cell r="J61">
            <v>-1000000</v>
          </cell>
        </row>
        <row r="62">
          <cell r="G62">
            <v>580</v>
          </cell>
          <cell r="J62">
            <v>-1000000</v>
          </cell>
        </row>
        <row r="63">
          <cell r="G63">
            <v>581</v>
          </cell>
          <cell r="J63">
            <v>120300000</v>
          </cell>
        </row>
        <row r="64">
          <cell r="J64">
            <v>120300000</v>
          </cell>
        </row>
        <row r="65">
          <cell r="J65">
            <v>-8000000</v>
          </cell>
        </row>
        <row r="66">
          <cell r="J66">
            <v>120300000</v>
          </cell>
        </row>
        <row r="67">
          <cell r="J67">
            <v>120300000</v>
          </cell>
        </row>
        <row r="68">
          <cell r="J68">
            <v>-8000000</v>
          </cell>
        </row>
        <row r="69">
          <cell r="J69">
            <v>120300000</v>
          </cell>
        </row>
        <row r="70">
          <cell r="J70">
            <v>120300000</v>
          </cell>
        </row>
        <row r="71">
          <cell r="J71">
            <v>-8000000</v>
          </cell>
        </row>
        <row r="72">
          <cell r="J72">
            <v>1000000</v>
          </cell>
        </row>
        <row r="73">
          <cell r="G73">
            <v>583</v>
          </cell>
          <cell r="J73">
            <v>1000000</v>
          </cell>
        </row>
        <row r="74">
          <cell r="G74">
            <v>584</v>
          </cell>
          <cell r="J74">
            <v>1000000</v>
          </cell>
        </row>
        <row r="75">
          <cell r="G75">
            <v>585</v>
          </cell>
          <cell r="J75">
            <v>1000000</v>
          </cell>
        </row>
        <row r="76">
          <cell r="G76">
            <v>586</v>
          </cell>
          <cell r="J76">
            <v>-2000000</v>
          </cell>
        </row>
        <row r="77">
          <cell r="G77">
            <v>587</v>
          </cell>
          <cell r="J77">
            <v>1000000</v>
          </cell>
        </row>
        <row r="78">
          <cell r="G78">
            <v>588</v>
          </cell>
          <cell r="J78">
            <v>1000000</v>
          </cell>
        </row>
        <row r="79">
          <cell r="G79">
            <v>589</v>
          </cell>
          <cell r="J79">
            <v>-7700000</v>
          </cell>
        </row>
        <row r="80">
          <cell r="G80">
            <v>590</v>
          </cell>
          <cell r="J80">
            <v>1000000</v>
          </cell>
        </row>
        <row r="81">
          <cell r="G81">
            <v>591</v>
          </cell>
          <cell r="J81">
            <v>1000000</v>
          </cell>
        </row>
        <row r="82">
          <cell r="G82">
            <v>592</v>
          </cell>
          <cell r="J82">
            <v>-3000000</v>
          </cell>
        </row>
        <row r="83">
          <cell r="G83">
            <v>593</v>
          </cell>
          <cell r="J83">
            <v>1000000</v>
          </cell>
        </row>
        <row r="84">
          <cell r="G84">
            <v>594</v>
          </cell>
          <cell r="J84">
            <v>1000000</v>
          </cell>
        </row>
        <row r="85">
          <cell r="G85">
            <v>595</v>
          </cell>
          <cell r="J85">
            <v>1000000</v>
          </cell>
        </row>
        <row r="86">
          <cell r="G86">
            <v>596</v>
          </cell>
          <cell r="J86">
            <v>1000000</v>
          </cell>
        </row>
        <row r="87">
          <cell r="G87">
            <v>597</v>
          </cell>
          <cell r="J87">
            <v>1000000</v>
          </cell>
        </row>
        <row r="88">
          <cell r="G88">
            <v>598</v>
          </cell>
          <cell r="J88">
            <v>-8000000</v>
          </cell>
        </row>
        <row r="89">
          <cell r="J89">
            <v>-8000000</v>
          </cell>
        </row>
        <row r="90">
          <cell r="J90">
            <v>-8000000</v>
          </cell>
        </row>
        <row r="91">
          <cell r="J91">
            <v>-8000000</v>
          </cell>
        </row>
        <row r="92">
          <cell r="G92">
            <v>599</v>
          </cell>
          <cell r="J92">
            <v>-8000000</v>
          </cell>
        </row>
        <row r="93">
          <cell r="G93">
            <v>600</v>
          </cell>
          <cell r="J93">
            <v>-8000000</v>
          </cell>
        </row>
        <row r="94">
          <cell r="G94">
            <v>601</v>
          </cell>
          <cell r="J94">
            <v>-8000000</v>
          </cell>
        </row>
        <row r="95">
          <cell r="G95">
            <v>602</v>
          </cell>
          <cell r="J95">
            <v>-8000000</v>
          </cell>
        </row>
        <row r="96">
          <cell r="G96">
            <v>603</v>
          </cell>
          <cell r="J96">
            <v>-8000000</v>
          </cell>
        </row>
        <row r="97">
          <cell r="G97">
            <v>604</v>
          </cell>
          <cell r="J97">
            <v>-8000000</v>
          </cell>
        </row>
        <row r="98">
          <cell r="G98">
            <v>605</v>
          </cell>
          <cell r="J98">
            <v>-8000000</v>
          </cell>
        </row>
        <row r="99">
          <cell r="G99">
            <v>606</v>
          </cell>
          <cell r="J99">
            <v>-8000000</v>
          </cell>
        </row>
        <row r="100">
          <cell r="G100">
            <v>607</v>
          </cell>
          <cell r="J100">
            <v>-8000000</v>
          </cell>
        </row>
        <row r="101">
          <cell r="G101">
            <v>608</v>
          </cell>
          <cell r="J101">
            <v>-8000000</v>
          </cell>
        </row>
        <row r="102">
          <cell r="G102">
            <v>609</v>
          </cell>
          <cell r="J102">
            <v>-8000000</v>
          </cell>
        </row>
        <row r="103">
          <cell r="G103">
            <v>610</v>
          </cell>
          <cell r="J103">
            <v>-8000000</v>
          </cell>
        </row>
        <row r="104">
          <cell r="G104">
            <v>611</v>
          </cell>
          <cell r="J104">
            <v>-8000000</v>
          </cell>
        </row>
        <row r="105">
          <cell r="G105">
            <v>612</v>
          </cell>
          <cell r="J105">
            <v>-8000000</v>
          </cell>
        </row>
        <row r="106">
          <cell r="J106">
            <v>-8000000</v>
          </cell>
        </row>
        <row r="107">
          <cell r="J107">
            <v>-8000000</v>
          </cell>
        </row>
        <row r="108">
          <cell r="J108">
            <v>-8000000</v>
          </cell>
        </row>
        <row r="109">
          <cell r="J109">
            <v>-8000000</v>
          </cell>
        </row>
        <row r="110">
          <cell r="J110">
            <v>-8000000</v>
          </cell>
        </row>
        <row r="111">
          <cell r="J111">
            <v>-8000000</v>
          </cell>
        </row>
        <row r="112">
          <cell r="G112">
            <v>615</v>
          </cell>
          <cell r="J112">
            <v>-8000000</v>
          </cell>
        </row>
        <row r="113">
          <cell r="G113">
            <v>616</v>
          </cell>
          <cell r="J113">
            <v>-8000000</v>
          </cell>
        </row>
        <row r="114">
          <cell r="G114">
            <v>617</v>
          </cell>
          <cell r="J114">
            <v>-8000000</v>
          </cell>
        </row>
        <row r="115">
          <cell r="G115">
            <v>618</v>
          </cell>
          <cell r="J115">
            <v>-8000000</v>
          </cell>
        </row>
        <row r="116">
          <cell r="G116">
            <v>619</v>
          </cell>
          <cell r="J116">
            <v>-8000000</v>
          </cell>
        </row>
        <row r="117">
          <cell r="G117">
            <v>620</v>
          </cell>
          <cell r="J117">
            <v>-8000000</v>
          </cell>
        </row>
        <row r="118">
          <cell r="G118">
            <v>621</v>
          </cell>
          <cell r="J118">
            <v>-8000000</v>
          </cell>
        </row>
        <row r="119">
          <cell r="G119">
            <v>622</v>
          </cell>
          <cell r="J119">
            <v>-8000000</v>
          </cell>
        </row>
        <row r="120">
          <cell r="G120">
            <v>623</v>
          </cell>
          <cell r="J120">
            <v>-8000000</v>
          </cell>
        </row>
        <row r="121">
          <cell r="G121">
            <v>624</v>
          </cell>
          <cell r="J121">
            <v>-8000000</v>
          </cell>
        </row>
        <row r="122">
          <cell r="G122">
            <v>625</v>
          </cell>
          <cell r="J122">
            <v>-8000000</v>
          </cell>
        </row>
        <row r="123">
          <cell r="J123">
            <v>-8000000</v>
          </cell>
        </row>
        <row r="124">
          <cell r="J124">
            <v>-8000000</v>
          </cell>
        </row>
        <row r="125">
          <cell r="J125">
            <v>-8000000</v>
          </cell>
        </row>
        <row r="126">
          <cell r="G126">
            <v>631</v>
          </cell>
          <cell r="J126">
            <v>-8000000</v>
          </cell>
        </row>
        <row r="127">
          <cell r="G127">
            <v>632</v>
          </cell>
          <cell r="J127">
            <v>-8000000</v>
          </cell>
        </row>
        <row r="128">
          <cell r="G128">
            <v>633</v>
          </cell>
          <cell r="J128">
            <v>-8000000</v>
          </cell>
        </row>
        <row r="129">
          <cell r="G129">
            <v>634</v>
          </cell>
          <cell r="J129">
            <v>-8000000</v>
          </cell>
        </row>
        <row r="130">
          <cell r="G130">
            <v>635</v>
          </cell>
          <cell r="J130">
            <v>-8000000</v>
          </cell>
        </row>
        <row r="131">
          <cell r="G131">
            <v>636</v>
          </cell>
          <cell r="J131">
            <v>-8000000</v>
          </cell>
        </row>
        <row r="132">
          <cell r="G132">
            <v>637</v>
          </cell>
          <cell r="J132">
            <v>-8000000</v>
          </cell>
        </row>
        <row r="133">
          <cell r="G133">
            <v>638</v>
          </cell>
          <cell r="J133">
            <v>-8000000</v>
          </cell>
        </row>
        <row r="134">
          <cell r="G134">
            <v>639</v>
          </cell>
          <cell r="J134">
            <v>-8000000</v>
          </cell>
        </row>
        <row r="135">
          <cell r="G135">
            <v>640</v>
          </cell>
          <cell r="J135">
            <v>-8000000</v>
          </cell>
        </row>
        <row r="136">
          <cell r="G136">
            <v>641</v>
          </cell>
          <cell r="J136">
            <v>-8000000</v>
          </cell>
        </row>
        <row r="137">
          <cell r="J137">
            <v>-8000000</v>
          </cell>
        </row>
        <row r="138">
          <cell r="J138">
            <v>-8000000</v>
          </cell>
        </row>
        <row r="139">
          <cell r="J139">
            <v>-8000000</v>
          </cell>
        </row>
        <row r="140">
          <cell r="G140">
            <v>647</v>
          </cell>
          <cell r="J140">
            <v>-8000000</v>
          </cell>
        </row>
        <row r="141">
          <cell r="J141">
            <v>-8000000</v>
          </cell>
        </row>
        <row r="142">
          <cell r="J142">
            <v>-8000000</v>
          </cell>
        </row>
        <row r="143">
          <cell r="J143">
            <v>-8000000</v>
          </cell>
        </row>
        <row r="144">
          <cell r="G144">
            <v>648</v>
          </cell>
          <cell r="J144">
            <v>-8000000</v>
          </cell>
        </row>
        <row r="145">
          <cell r="G145">
            <v>649</v>
          </cell>
          <cell r="J145">
            <v>-8000000</v>
          </cell>
        </row>
        <row r="146">
          <cell r="J146">
            <v>-8000000</v>
          </cell>
        </row>
        <row r="147">
          <cell r="J147">
            <v>-8000000</v>
          </cell>
        </row>
        <row r="148">
          <cell r="J148">
            <v>-8000000</v>
          </cell>
        </row>
        <row r="149">
          <cell r="G149">
            <v>663</v>
          </cell>
          <cell r="J149">
            <v>-8000000</v>
          </cell>
        </row>
        <row r="150">
          <cell r="G150">
            <v>664</v>
          </cell>
          <cell r="J150">
            <v>-8000000</v>
          </cell>
        </row>
        <row r="151">
          <cell r="G151">
            <v>665</v>
          </cell>
          <cell r="J151">
            <v>-8000000</v>
          </cell>
        </row>
        <row r="152">
          <cell r="G152">
            <v>666</v>
          </cell>
          <cell r="J152">
            <v>-8000000</v>
          </cell>
        </row>
        <row r="153">
          <cell r="G153">
            <v>667</v>
          </cell>
          <cell r="J153">
            <v>-8000000</v>
          </cell>
        </row>
        <row r="154">
          <cell r="G154">
            <v>668</v>
          </cell>
          <cell r="J154">
            <v>-8000000</v>
          </cell>
        </row>
        <row r="155">
          <cell r="G155">
            <v>669</v>
          </cell>
          <cell r="J155">
            <v>-8000000</v>
          </cell>
        </row>
        <row r="156">
          <cell r="G156">
            <v>670</v>
          </cell>
          <cell r="J156">
            <v>-8000000</v>
          </cell>
        </row>
        <row r="157">
          <cell r="G157">
            <v>671</v>
          </cell>
          <cell r="J157">
            <v>-8000000</v>
          </cell>
        </row>
        <row r="158">
          <cell r="G158">
            <v>672</v>
          </cell>
          <cell r="J158">
            <v>-8000000</v>
          </cell>
        </row>
        <row r="159">
          <cell r="J159">
            <v>-8000000</v>
          </cell>
        </row>
        <row r="160">
          <cell r="J160">
            <v>-8000000</v>
          </cell>
        </row>
        <row r="161">
          <cell r="J161">
            <v>-8000000</v>
          </cell>
        </row>
        <row r="162">
          <cell r="G162">
            <v>650</v>
          </cell>
          <cell r="J162">
            <v>-8000000</v>
          </cell>
        </row>
        <row r="163">
          <cell r="J163">
            <v>-8000000</v>
          </cell>
        </row>
        <row r="164">
          <cell r="J164">
            <v>-8000000</v>
          </cell>
        </row>
        <row r="165">
          <cell r="J165">
            <v>-8000000</v>
          </cell>
        </row>
        <row r="166">
          <cell r="G166">
            <v>679</v>
          </cell>
          <cell r="J166">
            <v>-8000000</v>
          </cell>
        </row>
        <row r="167">
          <cell r="G167">
            <v>680</v>
          </cell>
          <cell r="J167">
            <v>-8000000</v>
          </cell>
        </row>
        <row r="168">
          <cell r="G168">
            <v>681</v>
          </cell>
          <cell r="J168">
            <v>-8000000</v>
          </cell>
        </row>
        <row r="169">
          <cell r="G169">
            <v>682</v>
          </cell>
          <cell r="J169">
            <v>-8000000</v>
          </cell>
        </row>
        <row r="170">
          <cell r="G170">
            <v>683</v>
          </cell>
          <cell r="J170">
            <v>-8000000</v>
          </cell>
        </row>
        <row r="171">
          <cell r="G171">
            <v>684</v>
          </cell>
          <cell r="J171">
            <v>-8000000</v>
          </cell>
        </row>
        <row r="172">
          <cell r="G172">
            <v>685</v>
          </cell>
          <cell r="J172">
            <v>-8000000</v>
          </cell>
        </row>
        <row r="173">
          <cell r="G173">
            <v>686</v>
          </cell>
          <cell r="J173">
            <v>-8000000</v>
          </cell>
        </row>
        <row r="174">
          <cell r="G174">
            <v>687</v>
          </cell>
          <cell r="J174">
            <v>-8000000</v>
          </cell>
        </row>
        <row r="175">
          <cell r="G175">
            <v>688</v>
          </cell>
          <cell r="J175">
            <v>-8000000</v>
          </cell>
        </row>
        <row r="176">
          <cell r="G176">
            <v>689</v>
          </cell>
          <cell r="J176">
            <v>-8000000</v>
          </cell>
        </row>
        <row r="177">
          <cell r="G177">
            <v>690</v>
          </cell>
          <cell r="J177">
            <v>-8000000</v>
          </cell>
        </row>
        <row r="178">
          <cell r="G178">
            <v>691</v>
          </cell>
          <cell r="J178">
            <v>-8000000</v>
          </cell>
        </row>
        <row r="179">
          <cell r="G179">
            <v>692</v>
          </cell>
          <cell r="J179">
            <v>-8000000</v>
          </cell>
        </row>
        <row r="180">
          <cell r="J180">
            <v>-8000000</v>
          </cell>
        </row>
        <row r="181">
          <cell r="J181">
            <v>-8000000</v>
          </cell>
        </row>
        <row r="182">
          <cell r="J182">
            <v>-8000000</v>
          </cell>
        </row>
        <row r="183">
          <cell r="G183">
            <v>651</v>
          </cell>
          <cell r="J183">
            <v>-8000000</v>
          </cell>
        </row>
        <row r="184">
          <cell r="J184">
            <v>-8000000</v>
          </cell>
        </row>
        <row r="185">
          <cell r="J185">
            <v>-8000000</v>
          </cell>
        </row>
        <row r="186">
          <cell r="G186">
            <v>652</v>
          </cell>
          <cell r="J186">
            <v>-8000000</v>
          </cell>
        </row>
        <row r="187">
          <cell r="J187">
            <v>-8000000</v>
          </cell>
        </row>
        <row r="188">
          <cell r="J188">
            <v>-8000000</v>
          </cell>
        </row>
        <row r="189">
          <cell r="J189">
            <v>-8000000</v>
          </cell>
        </row>
        <row r="190">
          <cell r="G190">
            <v>695</v>
          </cell>
          <cell r="J190">
            <v>-8000000</v>
          </cell>
        </row>
        <row r="191">
          <cell r="G191">
            <v>696</v>
          </cell>
          <cell r="J191">
            <v>-8000000</v>
          </cell>
        </row>
        <row r="192">
          <cell r="G192">
            <v>697</v>
          </cell>
          <cell r="J192">
            <v>-8000000</v>
          </cell>
        </row>
        <row r="193">
          <cell r="G193">
            <v>698</v>
          </cell>
          <cell r="J193">
            <v>-8000000</v>
          </cell>
        </row>
        <row r="194">
          <cell r="G194">
            <v>699</v>
          </cell>
          <cell r="J194">
            <v>-8000000</v>
          </cell>
        </row>
        <row r="195">
          <cell r="G195">
            <v>700</v>
          </cell>
          <cell r="J195">
            <v>-8000000</v>
          </cell>
        </row>
        <row r="196">
          <cell r="G196">
            <v>701</v>
          </cell>
          <cell r="J196">
            <v>-8000000</v>
          </cell>
        </row>
        <row r="197">
          <cell r="G197">
            <v>702</v>
          </cell>
          <cell r="J197">
            <v>-8000000</v>
          </cell>
        </row>
        <row r="198">
          <cell r="G198">
            <v>703</v>
          </cell>
          <cell r="J198">
            <v>-8000000</v>
          </cell>
        </row>
        <row r="199">
          <cell r="G199">
            <v>704</v>
          </cell>
          <cell r="J199">
            <v>-8000000</v>
          </cell>
        </row>
        <row r="200">
          <cell r="G200">
            <v>705</v>
          </cell>
          <cell r="J200">
            <v>-8000000</v>
          </cell>
        </row>
        <row r="201">
          <cell r="G201">
            <v>706</v>
          </cell>
          <cell r="J201">
            <v>-8000000</v>
          </cell>
        </row>
        <row r="202">
          <cell r="G202">
            <v>707</v>
          </cell>
          <cell r="J202">
            <v>-8000000</v>
          </cell>
        </row>
        <row r="203">
          <cell r="J203">
            <v>-8000000</v>
          </cell>
        </row>
        <row r="204">
          <cell r="J204">
            <v>-8000000</v>
          </cell>
        </row>
        <row r="205">
          <cell r="J205">
            <v>-8000000</v>
          </cell>
        </row>
        <row r="206">
          <cell r="G206">
            <v>653</v>
          </cell>
          <cell r="J206">
            <v>-8000000</v>
          </cell>
        </row>
        <row r="207">
          <cell r="J207">
            <v>-8000000</v>
          </cell>
        </row>
        <row r="208">
          <cell r="J208">
            <v>-8000000</v>
          </cell>
        </row>
        <row r="209">
          <cell r="J209">
            <v>-8000000</v>
          </cell>
        </row>
        <row r="210">
          <cell r="J210">
            <v>-8000000</v>
          </cell>
        </row>
        <row r="211">
          <cell r="J211">
            <v>-8000000</v>
          </cell>
        </row>
        <row r="212">
          <cell r="J212">
            <v>-8000000</v>
          </cell>
        </row>
        <row r="213">
          <cell r="J213">
            <v>-8000000</v>
          </cell>
        </row>
        <row r="214">
          <cell r="J214">
            <v>-8000000</v>
          </cell>
        </row>
        <row r="215">
          <cell r="J215">
            <v>-8000000</v>
          </cell>
        </row>
        <row r="216">
          <cell r="J216">
            <v>-8000000</v>
          </cell>
        </row>
        <row r="217">
          <cell r="J217">
            <v>-8000000</v>
          </cell>
        </row>
        <row r="218">
          <cell r="J218">
            <v>-8000000</v>
          </cell>
        </row>
        <row r="219">
          <cell r="J219">
            <v>-8000000</v>
          </cell>
        </row>
        <row r="220">
          <cell r="J220">
            <v>-8000000</v>
          </cell>
        </row>
        <row r="221">
          <cell r="J221">
            <v>-8000000</v>
          </cell>
        </row>
        <row r="222">
          <cell r="J222">
            <v>-8000000</v>
          </cell>
        </row>
        <row r="223">
          <cell r="J223">
            <v>-8000000</v>
          </cell>
        </row>
        <row r="224">
          <cell r="J224">
            <v>-8000000</v>
          </cell>
        </row>
        <row r="225">
          <cell r="J225">
            <v>-8000000</v>
          </cell>
        </row>
        <row r="226">
          <cell r="J226">
            <v>-8000000</v>
          </cell>
        </row>
        <row r="227">
          <cell r="J227">
            <v>-8000000</v>
          </cell>
        </row>
        <row r="228">
          <cell r="J228">
            <v>-8000000</v>
          </cell>
        </row>
        <row r="229">
          <cell r="J229">
            <v>-8000000</v>
          </cell>
        </row>
        <row r="230">
          <cell r="J230">
            <v>-8000000</v>
          </cell>
        </row>
        <row r="231">
          <cell r="J231">
            <v>-8000000</v>
          </cell>
        </row>
        <row r="232">
          <cell r="J232">
            <v>-8000000</v>
          </cell>
        </row>
        <row r="233">
          <cell r="J233">
            <v>-8000000</v>
          </cell>
        </row>
        <row r="234">
          <cell r="J234">
            <v>-8000000</v>
          </cell>
        </row>
        <row r="235">
          <cell r="J235">
            <v>-8000000</v>
          </cell>
        </row>
        <row r="236">
          <cell r="J236">
            <v>-8000000</v>
          </cell>
        </row>
        <row r="237">
          <cell r="J237">
            <v>-8000000</v>
          </cell>
        </row>
        <row r="238">
          <cell r="J238">
            <v>-8000000</v>
          </cell>
        </row>
        <row r="239">
          <cell r="J239">
            <v>-8000000</v>
          </cell>
        </row>
        <row r="240">
          <cell r="J240">
            <v>-8000000</v>
          </cell>
        </row>
        <row r="241">
          <cell r="J241">
            <v>-8000000</v>
          </cell>
        </row>
        <row r="242">
          <cell r="J242">
            <v>-8000000</v>
          </cell>
        </row>
        <row r="243">
          <cell r="J243">
            <v>-8000000</v>
          </cell>
        </row>
        <row r="244">
          <cell r="J244">
            <v>-8000000</v>
          </cell>
        </row>
        <row r="245">
          <cell r="J245">
            <v>-8000000</v>
          </cell>
        </row>
        <row r="246">
          <cell r="J246">
            <v>-8000000</v>
          </cell>
        </row>
        <row r="247">
          <cell r="J247">
            <v>-8000000</v>
          </cell>
        </row>
        <row r="248">
          <cell r="J248">
            <v>-8000000</v>
          </cell>
        </row>
        <row r="249">
          <cell r="J249">
            <v>-8000000</v>
          </cell>
        </row>
        <row r="250">
          <cell r="J250">
            <v>-8000000</v>
          </cell>
        </row>
        <row r="251">
          <cell r="J251">
            <v>-8000000</v>
          </cell>
        </row>
        <row r="252">
          <cell r="J252">
            <v>-8000000</v>
          </cell>
        </row>
        <row r="253">
          <cell r="J253">
            <v>-8000000</v>
          </cell>
        </row>
        <row r="254">
          <cell r="J254">
            <v>-8000000</v>
          </cell>
        </row>
        <row r="255">
          <cell r="J255">
            <v>-8000000</v>
          </cell>
        </row>
        <row r="256">
          <cell r="J256">
            <v>-8000000</v>
          </cell>
        </row>
        <row r="257">
          <cell r="J257">
            <v>-8000000</v>
          </cell>
        </row>
        <row r="258">
          <cell r="J258">
            <v>-8000000</v>
          </cell>
        </row>
        <row r="259">
          <cell r="J259">
            <v>-8000000</v>
          </cell>
        </row>
        <row r="260">
          <cell r="J260">
            <v>-8000000</v>
          </cell>
        </row>
        <row r="261">
          <cell r="J261">
            <v>-8000000</v>
          </cell>
        </row>
        <row r="262">
          <cell r="J262">
            <v>-8000000</v>
          </cell>
        </row>
        <row r="263">
          <cell r="J263">
            <v>-8000000</v>
          </cell>
        </row>
        <row r="264">
          <cell r="J264">
            <v>-8000000</v>
          </cell>
        </row>
        <row r="265">
          <cell r="J265">
            <v>-8000000</v>
          </cell>
        </row>
        <row r="266">
          <cell r="J266">
            <v>-8000000</v>
          </cell>
        </row>
        <row r="267">
          <cell r="J267">
            <v>-8000000</v>
          </cell>
        </row>
        <row r="268">
          <cell r="J268">
            <v>-8000000</v>
          </cell>
        </row>
        <row r="269">
          <cell r="J269">
            <v>-8000000</v>
          </cell>
        </row>
        <row r="270">
          <cell r="J270">
            <v>-8000000</v>
          </cell>
        </row>
        <row r="271">
          <cell r="J271">
            <v>-8000000</v>
          </cell>
        </row>
        <row r="272">
          <cell r="J272">
            <v>-8000000</v>
          </cell>
        </row>
        <row r="273">
          <cell r="J273">
            <v>-8000000</v>
          </cell>
        </row>
        <row r="274">
          <cell r="J274">
            <v>-8000000</v>
          </cell>
        </row>
        <row r="275">
          <cell r="J275">
            <v>-8000000</v>
          </cell>
        </row>
        <row r="276">
          <cell r="J276">
            <v>-8000000</v>
          </cell>
        </row>
        <row r="277">
          <cell r="J277">
            <v>-8000000</v>
          </cell>
        </row>
        <row r="278">
          <cell r="J278">
            <v>-8000000</v>
          </cell>
        </row>
        <row r="279">
          <cell r="J279">
            <v>-8000000</v>
          </cell>
        </row>
        <row r="280">
          <cell r="J280">
            <v>-8000000</v>
          </cell>
        </row>
        <row r="281">
          <cell r="J281">
            <v>-8000000</v>
          </cell>
        </row>
        <row r="282">
          <cell r="J282">
            <v>-8000000</v>
          </cell>
        </row>
        <row r="283">
          <cell r="J283">
            <v>-8000000</v>
          </cell>
        </row>
        <row r="284">
          <cell r="J284">
            <v>-8000000</v>
          </cell>
        </row>
        <row r="285">
          <cell r="J285">
            <v>-8000000</v>
          </cell>
        </row>
        <row r="286">
          <cell r="J286">
            <v>-8000000</v>
          </cell>
        </row>
        <row r="287">
          <cell r="J287">
            <v>-8000000</v>
          </cell>
        </row>
        <row r="288">
          <cell r="J288">
            <v>-8000000</v>
          </cell>
        </row>
        <row r="289">
          <cell r="J289">
            <v>-8000000</v>
          </cell>
        </row>
      </sheetData>
      <sheetData sheetId="2"/>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ites.google.com/site/brehiner25/"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ites.google.com/site/brehiner25/"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theme="5" tint="0.59999389629810485"/>
  </sheetPr>
  <dimension ref="A1:L78"/>
  <sheetViews>
    <sheetView showGridLines="0" zoomScaleNormal="100" workbookViewId="0">
      <selection activeCell="C2" sqref="C2:I2"/>
    </sheetView>
  </sheetViews>
  <sheetFormatPr baseColWidth="10" defaultColWidth="0" defaultRowHeight="15" zeroHeight="1" x14ac:dyDescent="0.25"/>
  <cols>
    <col min="1" max="1" width="4.42578125" customWidth="1"/>
    <col min="2" max="2" width="2.28515625" customWidth="1"/>
    <col min="3" max="3" width="27.7109375" style="1" customWidth="1"/>
    <col min="4" max="4" width="11.28515625" style="1" customWidth="1"/>
    <col min="5" max="5" width="3.85546875" style="1" customWidth="1"/>
    <col min="6" max="6" width="6.28515625" customWidth="1"/>
    <col min="7" max="7" width="2.7109375" customWidth="1"/>
    <col min="8" max="8" width="17.7109375" customWidth="1"/>
    <col min="9" max="9" width="7.42578125" customWidth="1"/>
    <col min="10" max="10" width="2.28515625" customWidth="1"/>
    <col min="11" max="11" width="7.42578125" customWidth="1"/>
    <col min="12" max="12" width="0" hidden="1" customWidth="1"/>
    <col min="13" max="16384" width="11.42578125" hidden="1"/>
  </cols>
  <sheetData>
    <row r="1" spans="2:11" ht="16.5" x14ac:dyDescent="0.3">
      <c r="B1" s="3"/>
      <c r="C1" s="5"/>
      <c r="D1" s="5"/>
      <c r="E1" s="5"/>
      <c r="F1" s="3"/>
      <c r="G1" s="3"/>
      <c r="H1" s="3"/>
      <c r="I1" s="3"/>
      <c r="J1" s="3"/>
      <c r="K1" s="3"/>
    </row>
    <row r="2" spans="2:11" ht="20.25" x14ac:dyDescent="0.3">
      <c r="B2" s="3"/>
      <c r="C2" s="163" t="s">
        <v>94</v>
      </c>
      <c r="D2" s="163"/>
      <c r="E2" s="163"/>
      <c r="F2" s="163"/>
      <c r="G2" s="163"/>
      <c r="H2" s="163"/>
      <c r="I2" s="163"/>
      <c r="J2" s="3"/>
      <c r="K2" s="3"/>
    </row>
    <row r="3" spans="2:11" ht="18.75" customHeight="1" x14ac:dyDescent="0.3">
      <c r="B3" s="3"/>
      <c r="C3" s="12"/>
      <c r="D3" s="12"/>
      <c r="E3" s="12"/>
      <c r="F3" s="12"/>
      <c r="G3" s="12"/>
      <c r="H3" s="12"/>
      <c r="I3" s="12"/>
      <c r="J3" s="3"/>
      <c r="K3" s="3"/>
    </row>
    <row r="4" spans="2:11" s="27" customFormat="1" ht="12.95" customHeight="1" x14ac:dyDescent="0.2">
      <c r="B4" s="36"/>
      <c r="C4" s="37"/>
      <c r="D4" s="37"/>
      <c r="E4" s="37"/>
      <c r="F4" s="38"/>
      <c r="G4" s="38"/>
      <c r="H4" s="38"/>
      <c r="I4" s="38"/>
      <c r="J4" s="39"/>
    </row>
    <row r="5" spans="2:11" ht="35.1" customHeight="1" x14ac:dyDescent="0.3">
      <c r="B5" s="13"/>
      <c r="C5" s="14" t="s">
        <v>39</v>
      </c>
      <c r="D5" s="156"/>
      <c r="E5" s="157"/>
      <c r="F5" s="157"/>
      <c r="G5" s="157"/>
      <c r="H5" s="157"/>
      <c r="I5" s="158"/>
      <c r="J5" s="15"/>
      <c r="K5" s="3"/>
    </row>
    <row r="6" spans="2:11" s="27" customFormat="1" ht="12.95" customHeight="1" x14ac:dyDescent="0.2">
      <c r="B6" s="28"/>
      <c r="C6" s="30"/>
      <c r="D6" s="34"/>
      <c r="E6" s="34"/>
      <c r="F6" s="34"/>
      <c r="G6" s="34"/>
      <c r="H6" s="34"/>
      <c r="I6" s="34"/>
      <c r="J6" s="29"/>
    </row>
    <row r="7" spans="2:11" ht="22.5" customHeight="1" x14ac:dyDescent="0.3">
      <c r="B7" s="13"/>
      <c r="C7" s="14" t="s">
        <v>26</v>
      </c>
      <c r="D7" s="45" t="s">
        <v>23</v>
      </c>
      <c r="E7" s="18"/>
      <c r="F7" s="152"/>
      <c r="G7" s="153"/>
      <c r="H7" s="153"/>
      <c r="I7" s="154"/>
      <c r="J7" s="17"/>
      <c r="K7" s="3"/>
    </row>
    <row r="8" spans="2:11" ht="12.95" customHeight="1" x14ac:dyDescent="0.3">
      <c r="B8" s="13"/>
      <c r="C8" s="14"/>
      <c r="D8" s="67"/>
      <c r="E8" s="118"/>
      <c r="F8" s="121"/>
      <c r="G8" s="121"/>
      <c r="H8" s="121"/>
      <c r="I8" s="121"/>
      <c r="J8" s="17"/>
      <c r="K8" s="3"/>
    </row>
    <row r="9" spans="2:11" ht="22.5" customHeight="1" x14ac:dyDescent="0.3">
      <c r="B9" s="13"/>
      <c r="C9" s="14" t="s">
        <v>74</v>
      </c>
      <c r="D9" s="48"/>
      <c r="E9" s="47" t="s">
        <v>28</v>
      </c>
      <c r="F9" s="164"/>
      <c r="G9" s="165"/>
      <c r="H9" s="165"/>
      <c r="I9" s="154"/>
      <c r="J9" s="17"/>
      <c r="K9" s="3"/>
    </row>
    <row r="10" spans="2:11" ht="12.95" customHeight="1" x14ac:dyDescent="0.3">
      <c r="B10" s="13"/>
      <c r="C10" s="14"/>
      <c r="D10" s="121"/>
      <c r="E10" s="47"/>
      <c r="F10" s="127"/>
      <c r="G10" s="127"/>
      <c r="H10" s="127"/>
      <c r="I10" s="121"/>
      <c r="J10" s="17"/>
      <c r="K10" s="3"/>
    </row>
    <row r="11" spans="2:11" ht="22.5" customHeight="1" x14ac:dyDescent="0.3">
      <c r="B11" s="13"/>
      <c r="C11" s="69" t="s">
        <v>83</v>
      </c>
      <c r="D11" s="152"/>
      <c r="E11" s="153"/>
      <c r="F11" s="153"/>
      <c r="G11" s="153"/>
      <c r="H11" s="153"/>
      <c r="I11" s="154"/>
      <c r="J11" s="17"/>
      <c r="K11" s="3"/>
    </row>
    <row r="12" spans="2:11" s="27" customFormat="1" ht="12.95" customHeight="1" x14ac:dyDescent="0.2">
      <c r="B12" s="28"/>
      <c r="C12" s="30"/>
      <c r="D12" s="34"/>
      <c r="E12" s="34"/>
      <c r="F12" s="31"/>
      <c r="G12" s="31"/>
      <c r="H12" s="31"/>
      <c r="I12" s="31"/>
      <c r="J12" s="35"/>
    </row>
    <row r="13" spans="2:11" ht="22.5" customHeight="1" x14ac:dyDescent="0.3">
      <c r="B13" s="13"/>
      <c r="C13" s="14" t="s">
        <v>17</v>
      </c>
      <c r="D13" s="166"/>
      <c r="E13" s="167"/>
      <c r="F13" s="168"/>
      <c r="G13" s="66"/>
      <c r="H13" s="66"/>
      <c r="I13" s="32"/>
      <c r="J13" s="15"/>
      <c r="K13" s="3"/>
    </row>
    <row r="14" spans="2:11" s="27" customFormat="1" ht="12.95" customHeight="1" x14ac:dyDescent="0.2">
      <c r="B14" s="28"/>
      <c r="C14" s="30"/>
      <c r="D14" s="33"/>
      <c r="E14" s="33"/>
      <c r="F14" s="31"/>
      <c r="G14" s="31"/>
      <c r="H14" s="31"/>
      <c r="I14" s="31"/>
      <c r="J14" s="29"/>
    </row>
    <row r="15" spans="2:11" ht="22.5" customHeight="1" x14ac:dyDescent="0.3">
      <c r="B15" s="13"/>
      <c r="C15" s="14" t="s">
        <v>9</v>
      </c>
      <c r="D15" s="45"/>
      <c r="E15" s="176" t="s">
        <v>16</v>
      </c>
      <c r="F15" s="177"/>
      <c r="G15" s="18"/>
      <c r="H15" s="16"/>
      <c r="I15" s="16"/>
      <c r="J15" s="15"/>
      <c r="K15" s="3"/>
    </row>
    <row r="16" spans="2:11" s="27" customFormat="1" ht="12.95" customHeight="1" x14ac:dyDescent="0.2">
      <c r="B16" s="28"/>
      <c r="C16" s="30"/>
      <c r="D16" s="31"/>
      <c r="E16" s="32"/>
      <c r="F16" s="31"/>
      <c r="G16" s="31"/>
      <c r="H16" s="31"/>
      <c r="I16" s="31"/>
      <c r="J16" s="29"/>
    </row>
    <row r="17" spans="2:11" ht="22.5" customHeight="1" x14ac:dyDescent="0.3">
      <c r="B17" s="13"/>
      <c r="C17" s="14" t="s">
        <v>14</v>
      </c>
      <c r="D17" s="159"/>
      <c r="E17" s="160"/>
      <c r="F17" s="160"/>
      <c r="G17" s="160"/>
      <c r="H17" s="160"/>
      <c r="I17" s="161"/>
      <c r="J17" s="15"/>
      <c r="K17" s="49">
        <f>IFERROR(FIND("@",D17,1),0)</f>
        <v>0</v>
      </c>
    </row>
    <row r="18" spans="2:11" s="27" customFormat="1" ht="12.95" customHeight="1" x14ac:dyDescent="0.2">
      <c r="B18" s="28"/>
      <c r="C18" s="30"/>
      <c r="D18" s="34"/>
      <c r="E18" s="34"/>
      <c r="F18" s="50"/>
      <c r="G18" s="50"/>
      <c r="H18" s="50"/>
      <c r="I18" s="50"/>
      <c r="J18" s="29"/>
    </row>
    <row r="19" spans="2:11" ht="35.1" customHeight="1" x14ac:dyDescent="0.3">
      <c r="B19" s="13"/>
      <c r="C19" s="14" t="s">
        <v>15</v>
      </c>
      <c r="D19" s="156"/>
      <c r="E19" s="157"/>
      <c r="F19" s="157"/>
      <c r="G19" s="157"/>
      <c r="H19" s="157"/>
      <c r="I19" s="158"/>
      <c r="J19" s="15"/>
      <c r="K19" s="3"/>
    </row>
    <row r="20" spans="2:11" ht="12.95" customHeight="1" x14ac:dyDescent="0.3">
      <c r="B20" s="13"/>
      <c r="C20" s="14"/>
      <c r="D20" s="126"/>
      <c r="E20" s="126"/>
      <c r="F20" s="126"/>
      <c r="G20" s="126"/>
      <c r="H20" s="126"/>
      <c r="I20" s="126"/>
      <c r="J20" s="15"/>
      <c r="K20" s="3"/>
    </row>
    <row r="21" spans="2:11" ht="36" customHeight="1" x14ac:dyDescent="0.3">
      <c r="B21" s="128"/>
      <c r="C21" s="155" t="s">
        <v>79</v>
      </c>
      <c r="D21" s="155"/>
      <c r="E21" s="155"/>
      <c r="F21" s="155"/>
      <c r="G21" s="155"/>
      <c r="H21" s="155"/>
      <c r="I21" s="155"/>
      <c r="J21" s="129"/>
      <c r="K21" s="3"/>
    </row>
    <row r="22" spans="2:11" ht="12.95" customHeight="1" x14ac:dyDescent="0.3">
      <c r="B22" s="13"/>
      <c r="C22" s="69"/>
      <c r="D22" s="69"/>
      <c r="E22" s="69"/>
      <c r="F22" s="69"/>
      <c r="G22" s="69"/>
      <c r="H22" s="69"/>
      <c r="I22" s="69"/>
      <c r="J22" s="15"/>
      <c r="K22" s="3"/>
    </row>
    <row r="23" spans="2:11" ht="35.1" customHeight="1" x14ac:dyDescent="0.3">
      <c r="B23" s="13"/>
      <c r="C23" s="14" t="s">
        <v>39</v>
      </c>
      <c r="D23" s="156"/>
      <c r="E23" s="157"/>
      <c r="F23" s="157"/>
      <c r="G23" s="157"/>
      <c r="H23" s="157"/>
      <c r="I23" s="158"/>
      <c r="J23" s="15"/>
      <c r="K23" s="3"/>
    </row>
    <row r="24" spans="2:11" ht="12.95" customHeight="1" x14ac:dyDescent="0.3">
      <c r="B24" s="13"/>
      <c r="C24" s="30"/>
      <c r="D24" s="34"/>
      <c r="E24" s="34"/>
      <c r="F24" s="34"/>
      <c r="G24" s="34"/>
      <c r="H24" s="34"/>
      <c r="I24" s="34"/>
      <c r="J24" s="15"/>
      <c r="K24" s="3"/>
    </row>
    <row r="25" spans="2:11" ht="22.5" customHeight="1" x14ac:dyDescent="0.3">
      <c r="B25" s="13"/>
      <c r="C25" s="14" t="s">
        <v>26</v>
      </c>
      <c r="D25" s="45"/>
      <c r="E25" s="118"/>
      <c r="F25" s="152"/>
      <c r="G25" s="153"/>
      <c r="H25" s="153"/>
      <c r="I25" s="154"/>
      <c r="J25" s="15"/>
      <c r="K25" s="3"/>
    </row>
    <row r="26" spans="2:11" ht="12.95" customHeight="1" x14ac:dyDescent="0.3">
      <c r="B26" s="13"/>
      <c r="C26" s="69"/>
      <c r="D26" s="69"/>
      <c r="E26" s="69"/>
      <c r="F26" s="69"/>
      <c r="G26" s="69"/>
      <c r="H26" s="69"/>
      <c r="I26" s="69"/>
      <c r="J26" s="15"/>
      <c r="K26" s="3"/>
    </row>
    <row r="27" spans="2:11" ht="22.5" customHeight="1" x14ac:dyDescent="0.3">
      <c r="B27" s="13"/>
      <c r="C27" s="14" t="s">
        <v>14</v>
      </c>
      <c r="D27" s="159"/>
      <c r="E27" s="160"/>
      <c r="F27" s="160"/>
      <c r="G27" s="160"/>
      <c r="H27" s="160"/>
      <c r="I27" s="161"/>
      <c r="J27" s="15"/>
      <c r="K27" s="3"/>
    </row>
    <row r="28" spans="2:11" ht="12.95" customHeight="1" x14ac:dyDescent="0.3">
      <c r="B28" s="13"/>
      <c r="C28" s="30"/>
      <c r="D28" s="34"/>
      <c r="E28" s="34"/>
      <c r="F28" s="50"/>
      <c r="G28" s="50"/>
      <c r="H28" s="50"/>
      <c r="I28" s="50"/>
      <c r="J28" s="15"/>
      <c r="K28" s="3"/>
    </row>
    <row r="29" spans="2:11" s="27" customFormat="1" ht="35.1" customHeight="1" x14ac:dyDescent="0.2">
      <c r="B29" s="28"/>
      <c r="C29" s="14" t="s">
        <v>15</v>
      </c>
      <c r="D29" s="156"/>
      <c r="E29" s="157"/>
      <c r="F29" s="157"/>
      <c r="G29" s="157"/>
      <c r="H29" s="157"/>
      <c r="I29" s="158"/>
      <c r="J29" s="29"/>
    </row>
    <row r="30" spans="2:11" s="27" customFormat="1" ht="12.95" customHeight="1" x14ac:dyDescent="0.2">
      <c r="B30" s="28"/>
      <c r="C30" s="14"/>
      <c r="D30" s="126"/>
      <c r="E30" s="126"/>
      <c r="F30" s="126"/>
      <c r="G30" s="126"/>
      <c r="H30" s="126"/>
      <c r="I30" s="126"/>
      <c r="J30" s="29"/>
    </row>
    <row r="31" spans="2:11" ht="18.75" customHeight="1" x14ac:dyDescent="0.3">
      <c r="B31" s="13"/>
      <c r="C31" s="19"/>
      <c r="D31" s="18"/>
      <c r="E31" s="19"/>
      <c r="F31" s="172" t="s">
        <v>20</v>
      </c>
      <c r="G31" s="172"/>
      <c r="H31" s="172"/>
      <c r="I31" s="172"/>
      <c r="J31" s="15"/>
      <c r="K31" s="3"/>
    </row>
    <row r="32" spans="2:11" s="27" customFormat="1" ht="12.95" customHeight="1" x14ac:dyDescent="0.2">
      <c r="B32" s="21"/>
      <c r="C32" s="22"/>
      <c r="D32" s="23"/>
      <c r="E32" s="22"/>
      <c r="F32" s="24"/>
      <c r="G32" s="24"/>
      <c r="H32" s="24"/>
      <c r="I32" s="25"/>
      <c r="J32" s="26"/>
    </row>
    <row r="33" spans="2:11" ht="17.25" customHeight="1" x14ac:dyDescent="0.3">
      <c r="B33" s="3"/>
      <c r="C33" s="7"/>
      <c r="D33" s="5"/>
      <c r="E33" s="5"/>
      <c r="F33" s="3"/>
      <c r="G33" s="3"/>
      <c r="H33" s="3"/>
      <c r="J33" s="3"/>
      <c r="K33" s="3"/>
    </row>
    <row r="34" spans="2:11" ht="12.95" customHeight="1" x14ac:dyDescent="0.3">
      <c r="B34" s="36"/>
      <c r="C34" s="37"/>
      <c r="D34" s="37"/>
      <c r="E34" s="37"/>
      <c r="F34" s="38"/>
      <c r="G34" s="38"/>
      <c r="H34" s="38"/>
      <c r="I34" s="38"/>
      <c r="J34" s="39"/>
      <c r="K34" s="3"/>
    </row>
    <row r="35" spans="2:11" ht="22.5" customHeight="1" x14ac:dyDescent="0.3">
      <c r="B35" s="13"/>
      <c r="C35" s="14" t="s">
        <v>21</v>
      </c>
      <c r="D35" s="156"/>
      <c r="E35" s="157"/>
      <c r="F35" s="157"/>
      <c r="G35" s="157"/>
      <c r="H35" s="157"/>
      <c r="I35" s="158"/>
      <c r="J35" s="15"/>
      <c r="K35" s="3"/>
    </row>
    <row r="36" spans="2:11" s="27" customFormat="1" ht="12.95" customHeight="1" x14ac:dyDescent="0.3">
      <c r="B36" s="28"/>
      <c r="C36" s="30"/>
      <c r="D36" s="34"/>
      <c r="E36" s="34"/>
      <c r="F36" s="34"/>
      <c r="G36" s="34"/>
      <c r="H36" s="34"/>
      <c r="I36" s="20"/>
      <c r="J36" s="29"/>
    </row>
    <row r="37" spans="2:11" ht="28.5" customHeight="1" x14ac:dyDescent="0.3">
      <c r="B37" s="13"/>
      <c r="C37" s="14" t="s">
        <v>22</v>
      </c>
      <c r="D37" s="173"/>
      <c r="E37" s="174"/>
      <c r="F37" s="175"/>
      <c r="G37" s="67"/>
      <c r="H37" s="69" t="s">
        <v>57</v>
      </c>
      <c r="I37" s="48"/>
      <c r="J37" s="15"/>
      <c r="K37" s="3"/>
    </row>
    <row r="38" spans="2:11" s="27" customFormat="1" ht="12.95" customHeight="1" x14ac:dyDescent="0.3">
      <c r="B38" s="21"/>
      <c r="C38" s="22"/>
      <c r="D38" s="22"/>
      <c r="E38" s="65"/>
      <c r="F38" s="65"/>
      <c r="G38" s="65"/>
      <c r="H38" s="65"/>
      <c r="I38" s="22"/>
      <c r="J38" s="26"/>
    </row>
    <row r="39" spans="2:11" ht="16.5" x14ac:dyDescent="0.3">
      <c r="B39" s="3"/>
      <c r="C39" s="9"/>
      <c r="D39" s="8"/>
      <c r="E39" s="9"/>
      <c r="F39" s="3"/>
      <c r="G39" s="3"/>
      <c r="H39" s="3"/>
      <c r="I39" s="12"/>
      <c r="J39" s="3"/>
      <c r="K39" s="3"/>
    </row>
    <row r="40" spans="2:11" s="27" customFormat="1" ht="13.5" customHeight="1" x14ac:dyDescent="0.2">
      <c r="B40" s="36"/>
      <c r="C40" s="40"/>
      <c r="D40" s="41"/>
      <c r="E40" s="40"/>
      <c r="F40" s="38"/>
      <c r="G40" s="38"/>
      <c r="H40" s="38"/>
      <c r="I40" s="42"/>
      <c r="J40" s="39"/>
    </row>
    <row r="41" spans="2:11" ht="22.5" customHeight="1" x14ac:dyDescent="0.3">
      <c r="B41" s="13"/>
      <c r="C41" s="14" t="s">
        <v>10</v>
      </c>
      <c r="D41" s="95" t="str">
        <f>Tasas!M5</f>
        <v/>
      </c>
      <c r="E41" s="18"/>
      <c r="F41" s="61"/>
      <c r="G41" s="61"/>
      <c r="H41" s="61"/>
      <c r="I41" s="20"/>
      <c r="J41" s="15"/>
      <c r="K41" s="3"/>
    </row>
    <row r="42" spans="2:11" s="27" customFormat="1" ht="18" customHeight="1" x14ac:dyDescent="0.2">
      <c r="B42" s="28"/>
      <c r="C42" s="44"/>
      <c r="D42" s="44"/>
      <c r="E42" s="44"/>
      <c r="F42" s="44"/>
      <c r="G42" s="44"/>
      <c r="H42" s="44"/>
      <c r="I42" s="44"/>
      <c r="J42" s="29"/>
    </row>
    <row r="43" spans="2:11" ht="22.5" customHeight="1" x14ac:dyDescent="0.3">
      <c r="B43" s="13"/>
      <c r="C43" s="14" t="s">
        <v>18</v>
      </c>
      <c r="D43" s="169">
        <f>Tasas!M6</f>
        <v>0</v>
      </c>
      <c r="E43" s="170"/>
      <c r="F43" s="171"/>
      <c r="G43" s="68"/>
      <c r="H43" s="68"/>
      <c r="I43" s="20"/>
      <c r="J43" s="15"/>
      <c r="K43" s="3"/>
    </row>
    <row r="44" spans="2:11" s="27" customFormat="1" ht="13.5" customHeight="1" x14ac:dyDescent="0.2">
      <c r="B44" s="21"/>
      <c r="C44" s="43"/>
      <c r="D44" s="43"/>
      <c r="E44" s="43"/>
      <c r="F44" s="24"/>
      <c r="G44" s="24"/>
      <c r="H44" s="24"/>
      <c r="I44" s="24"/>
      <c r="J44" s="26"/>
    </row>
    <row r="45" spans="2:11" ht="15.75" customHeight="1" x14ac:dyDescent="0.3">
      <c r="B45" s="3"/>
      <c r="C45" s="5"/>
      <c r="D45" s="5"/>
      <c r="E45" s="5"/>
      <c r="F45" s="3"/>
      <c r="G45" s="3"/>
      <c r="H45" s="3"/>
      <c r="I45" s="3"/>
      <c r="J45" s="3"/>
      <c r="K45" s="3"/>
    </row>
    <row r="46" spans="2:11" ht="16.5" x14ac:dyDescent="0.3">
      <c r="B46" s="3"/>
      <c r="C46" s="10" t="s">
        <v>12</v>
      </c>
      <c r="D46" s="11">
        <f>D15*IF(D15=1,365,360)</f>
        <v>0</v>
      </c>
      <c r="E46" s="10"/>
      <c r="F46" s="3"/>
      <c r="G46" s="3"/>
      <c r="H46" s="3"/>
      <c r="I46" s="3"/>
      <c r="J46" s="3"/>
      <c r="K46" s="3"/>
    </row>
    <row r="47" spans="2:11" ht="48" customHeight="1" x14ac:dyDescent="0.3">
      <c r="B47" s="162" t="s">
        <v>71</v>
      </c>
      <c r="C47" s="162"/>
      <c r="D47" s="162"/>
      <c r="E47" s="162"/>
      <c r="F47" s="162"/>
      <c r="G47" s="162"/>
      <c r="H47" s="162"/>
      <c r="I47" s="162"/>
      <c r="J47" s="162"/>
      <c r="K47" s="3"/>
    </row>
    <row r="48" spans="2:11" ht="16.5" x14ac:dyDescent="0.3">
      <c r="B48" s="3"/>
      <c r="C48" s="10"/>
      <c r="D48" s="11"/>
      <c r="E48" s="10"/>
      <c r="F48" s="3"/>
      <c r="G48" s="3"/>
      <c r="H48" s="146"/>
      <c r="I48" s="147" t="s">
        <v>98</v>
      </c>
      <c r="J48" s="3"/>
      <c r="K48" s="3"/>
    </row>
    <row r="49" spans="2:11" ht="16.5" hidden="1" x14ac:dyDescent="0.3">
      <c r="B49" s="3"/>
      <c r="C49" s="10"/>
      <c r="D49" s="11"/>
      <c r="E49" s="10"/>
      <c r="F49" s="3"/>
      <c r="G49" s="3"/>
      <c r="H49" s="3"/>
      <c r="I49" s="3"/>
      <c r="J49" s="3"/>
      <c r="K49" s="3"/>
    </row>
    <row r="50" spans="2:11" ht="16.5" hidden="1" x14ac:dyDescent="0.3">
      <c r="B50" s="3"/>
      <c r="C50" s="10"/>
      <c r="D50" s="11"/>
      <c r="E50" s="10"/>
      <c r="F50" s="3"/>
      <c r="G50" s="3"/>
      <c r="H50" s="3"/>
      <c r="I50" s="3"/>
      <c r="J50" s="3"/>
      <c r="K50" s="3"/>
    </row>
    <row r="51" spans="2:11" ht="16.5" hidden="1" x14ac:dyDescent="0.3">
      <c r="B51" s="3"/>
      <c r="C51" s="10"/>
      <c r="D51" s="11"/>
      <c r="E51" s="10"/>
      <c r="F51" s="3"/>
      <c r="G51" s="3"/>
      <c r="H51" s="3"/>
      <c r="I51" s="3"/>
      <c r="J51" s="3"/>
      <c r="K51" s="3"/>
    </row>
    <row r="52" spans="2:11" ht="16.5" hidden="1" x14ac:dyDescent="0.3">
      <c r="B52" s="3"/>
      <c r="C52" s="10"/>
      <c r="D52" s="11"/>
      <c r="E52" s="10"/>
      <c r="F52" s="3"/>
      <c r="G52" s="3"/>
      <c r="H52" s="3"/>
      <c r="I52" s="3"/>
      <c r="J52" s="3"/>
      <c r="K52" s="3"/>
    </row>
    <row r="53" spans="2:11" ht="16.5" hidden="1" x14ac:dyDescent="0.3">
      <c r="B53" s="3"/>
      <c r="C53" s="10"/>
      <c r="D53" s="11"/>
      <c r="E53" s="10"/>
      <c r="F53" s="3"/>
      <c r="G53" s="3"/>
      <c r="H53" s="3"/>
      <c r="I53" s="3"/>
      <c r="J53" s="3"/>
      <c r="K53" s="3"/>
    </row>
    <row r="54" spans="2:11" ht="16.5" hidden="1" x14ac:dyDescent="0.3">
      <c r="B54" s="3"/>
      <c r="C54" s="10"/>
      <c r="D54" s="11"/>
      <c r="E54" s="10"/>
      <c r="F54" s="3"/>
      <c r="G54" s="3"/>
      <c r="H54" s="3"/>
      <c r="I54" s="3"/>
      <c r="J54" s="3"/>
      <c r="K54" s="3"/>
    </row>
    <row r="55" spans="2:11" ht="16.5" hidden="1" x14ac:dyDescent="0.3">
      <c r="B55" s="3"/>
      <c r="C55" s="10"/>
      <c r="D55" s="11"/>
      <c r="E55" s="10"/>
      <c r="F55" s="3"/>
      <c r="G55" s="3"/>
      <c r="H55" s="3"/>
      <c r="I55" s="3"/>
      <c r="J55" s="3"/>
      <c r="K55" s="3"/>
    </row>
    <row r="56" spans="2:11" ht="16.5" hidden="1" x14ac:dyDescent="0.3">
      <c r="B56" s="3"/>
      <c r="C56" s="5"/>
      <c r="D56" s="5"/>
      <c r="E56" s="5"/>
      <c r="F56" s="3"/>
      <c r="G56" s="3"/>
      <c r="H56" s="3"/>
      <c r="I56" s="3"/>
      <c r="J56" s="3"/>
      <c r="K56" s="3"/>
    </row>
    <row r="57" spans="2:11" ht="16.5" hidden="1" x14ac:dyDescent="0.3">
      <c r="B57" s="3"/>
      <c r="C57" s="6"/>
      <c r="D57" s="5"/>
      <c r="E57" s="5"/>
      <c r="F57" s="3"/>
      <c r="G57" s="3"/>
      <c r="H57" s="3"/>
      <c r="I57" s="3"/>
      <c r="J57" s="3"/>
      <c r="K57" s="3"/>
    </row>
    <row r="58" spans="2:11" ht="16.5" hidden="1" x14ac:dyDescent="0.3">
      <c r="B58" s="3"/>
      <c r="C58" s="5"/>
      <c r="D58" s="5"/>
      <c r="E58" s="5"/>
      <c r="F58" s="3"/>
      <c r="G58" s="3"/>
      <c r="H58" s="3"/>
      <c r="I58" s="3"/>
      <c r="J58" s="3"/>
      <c r="K58" s="3"/>
    </row>
    <row r="59" spans="2:11" hidden="1" x14ac:dyDescent="0.25"/>
    <row r="60" spans="2:11" hidden="1" x14ac:dyDescent="0.25"/>
    <row r="61" spans="2:11" hidden="1" x14ac:dyDescent="0.25"/>
    <row r="62" spans="2:11" hidden="1" x14ac:dyDescent="0.25"/>
    <row r="63" spans="2:11" hidden="1" x14ac:dyDescent="0.25"/>
    <row r="64" spans="2:11" hidden="1" x14ac:dyDescent="0.25"/>
    <row r="65" hidden="1" x14ac:dyDescent="0.25"/>
    <row r="66" hidden="1" x14ac:dyDescent="0.25"/>
    <row r="67" hidden="1" x14ac:dyDescent="0.25"/>
    <row r="68" hidden="1" x14ac:dyDescent="0.25"/>
    <row r="69" hidden="1" x14ac:dyDescent="0.25"/>
    <row r="70" x14ac:dyDescent="0.25"/>
    <row r="71" x14ac:dyDescent="0.25"/>
    <row r="72" x14ac:dyDescent="0.25"/>
    <row r="73" x14ac:dyDescent="0.25"/>
    <row r="74" x14ac:dyDescent="0.25"/>
    <row r="75" x14ac:dyDescent="0.25"/>
    <row r="76" x14ac:dyDescent="0.25"/>
    <row r="77" x14ac:dyDescent="0.25"/>
    <row r="78" x14ac:dyDescent="0.25"/>
  </sheetData>
  <sheetProtection selectLockedCells="1"/>
  <mergeCells count="19">
    <mergeCell ref="D29:I29"/>
    <mergeCell ref="B47:J47"/>
    <mergeCell ref="C2:I2"/>
    <mergeCell ref="F9:I9"/>
    <mergeCell ref="D13:F13"/>
    <mergeCell ref="D43:F43"/>
    <mergeCell ref="D35:I35"/>
    <mergeCell ref="F7:I7"/>
    <mergeCell ref="D5:I5"/>
    <mergeCell ref="D17:I17"/>
    <mergeCell ref="D19:I19"/>
    <mergeCell ref="F31:I31"/>
    <mergeCell ref="D37:F37"/>
    <mergeCell ref="E15:F15"/>
    <mergeCell ref="D11:I11"/>
    <mergeCell ref="C21:I21"/>
    <mergeCell ref="D23:I23"/>
    <mergeCell ref="F25:I25"/>
    <mergeCell ref="D27:I27"/>
  </mergeCells>
  <dataValidations count="9">
    <dataValidation type="textLength" operator="equal" allowBlank="1" showErrorMessage="1" errorTitle="Cuenta Incorrecta" error="Ingresar 10 dígitos del número de cuenta" sqref="F9:I10">
      <formula1>10</formula1>
    </dataValidation>
    <dataValidation type="textLength" allowBlank="1" showErrorMessage="1" errorTitle="Documento Incorrecto" error="Ingresar documento correcto._x000a_DNI: 8 dígitos_x000a_CE: más de 9 dígitos" sqref="F7:I8 F25:I25">
      <formula1>8</formula1>
      <formula2>11</formula2>
    </dataValidation>
    <dataValidation type="textLength" operator="equal" allowBlank="1" showInputMessage="1" showErrorMessage="1" errorTitle="Código inválido" error="Ingresar los tres dígitos iniciales de la cuenta" promptTitle="Código de 3 digitos" sqref="D9:D10">
      <formula1>3</formula1>
    </dataValidation>
    <dataValidation type="whole" allowBlank="1" showInputMessage="1" showErrorMessage="1" errorTitle="Monto mínimo requerido" error="Monto mínimo de apertura de S/ 100,000._x000a_El monto debe ser un número entero." sqref="G13:H13">
      <formula1>100000</formula1>
      <formula2>9999999999</formula2>
    </dataValidation>
    <dataValidation type="textLength" operator="greaterThan" allowBlank="1" showInputMessage="1" showErrorMessage="1" errorTitle="Ingresar dirección" error="Debe ingresar una dirección" sqref="D19:I20 D29:I30">
      <formula1>5</formula1>
    </dataValidation>
    <dataValidation type="textLength" operator="greaterThan" allowBlank="1" showErrorMessage="1" errorTitle="Correo electrónico incorrecto" error="Verificar correo, debe tener &quot;@&quot;" sqref="D17:I17 D27:I27">
      <formula1>4</formula1>
    </dataValidation>
    <dataValidation type="whole" operator="greaterThan" allowBlank="1" showInputMessage="1" showErrorMessage="1" sqref="K17">
      <formula1>0</formula1>
    </dataValidation>
    <dataValidation type="textLength" operator="equal" allowBlank="1" showErrorMessage="1" errorTitle="Código de Tienda Incorrecto" error="El código de tienda debe tener 3 dígitos" sqref="I37">
      <formula1>3</formula1>
    </dataValidation>
    <dataValidation type="whole" allowBlank="1" showInputMessage="1" showErrorMessage="1" errorTitle="Monto mínimo requerido" error="Monto mínimo de apertura de S/ 50,000._x000a_El monto debe ser un número entero." sqref="D13:F13">
      <formula1>50000</formula1>
      <formula2>9999999999</formula2>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Tasas!$B$2:$B$5</xm:f>
          </x14:formula1>
          <xm:sqref>D15</xm:sqref>
        </x14:dataValidation>
        <x14:dataValidation type="list" allowBlank="1" showInputMessage="1" showErrorMessage="1">
          <x14:formula1>
            <xm:f>Tasas!$G$2:$G$3</xm:f>
          </x14:formula1>
          <xm:sqref>D7:D8 D25</xm:sqref>
        </x14:dataValidation>
        <x14:dataValidation type="list" allowBlank="1" showErrorMessage="1" errorTitle="Seleccionar Puesto" error="Debe seleccionar el puesto correcto">
          <x14:formula1>
            <xm:f>Tasas!$I$2:$I$5</xm:f>
          </x14:formula1>
          <xm:sqref>D37:G37</xm:sqref>
        </x14:dataValidation>
        <x14:dataValidation type="list" operator="equal" allowBlank="1" showInputMessage="1" showErrorMessage="1" errorTitle="Código inválido" error="Ingresar los tres dígitos iniciales de la cuenta" promptTitle="Código de 3 digitos">
          <x14:formula1>
            <xm:f>Tasas!$J$2:$J$6</xm:f>
          </x14:formula1>
          <xm:sqref>D11:I11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D63"/>
  <sheetViews>
    <sheetView showGridLines="0" tabSelected="1" topLeftCell="A21" zoomScaleNormal="100" workbookViewId="0">
      <selection activeCell="L28" sqref="L26:N28"/>
    </sheetView>
  </sheetViews>
  <sheetFormatPr baseColWidth="10" defaultColWidth="0" defaultRowHeight="16.5" customHeight="1" zeroHeight="1" x14ac:dyDescent="0.3"/>
  <cols>
    <col min="1" max="1" width="1.42578125" style="2" customWidth="1"/>
    <col min="2" max="2" width="5.28515625" style="2" customWidth="1"/>
    <col min="3" max="3" width="2.7109375" style="2" customWidth="1"/>
    <col min="4" max="4" width="3.7109375" style="2" customWidth="1"/>
    <col min="5" max="5" width="5.42578125" style="2" customWidth="1"/>
    <col min="6" max="6" width="4.85546875" style="2" customWidth="1"/>
    <col min="7" max="7" width="5.5703125" style="2" customWidth="1"/>
    <col min="8" max="8" width="3.42578125" style="2" customWidth="1"/>
    <col min="9" max="9" width="2.85546875" style="2" customWidth="1"/>
    <col min="10" max="10" width="6" style="2" customWidth="1"/>
    <col min="11" max="11" width="5.5703125" style="2" customWidth="1"/>
    <col min="12" max="12" width="4" style="2" customWidth="1"/>
    <col min="13" max="13" width="10.42578125" style="2" customWidth="1"/>
    <col min="14" max="14" width="3.140625" style="2" customWidth="1"/>
    <col min="15" max="15" width="4.5703125" style="2" bestFit="1" customWidth="1"/>
    <col min="16" max="16" width="5.7109375" style="2" customWidth="1"/>
    <col min="17" max="17" width="15.7109375" style="2" customWidth="1"/>
    <col min="18" max="20" width="1.7109375" style="3" customWidth="1"/>
    <col min="21" max="21" width="7.28515625" style="3" hidden="1" customWidth="1"/>
    <col min="22" max="30" width="0" hidden="1" customWidth="1"/>
    <col min="31" max="16384" width="11.42578125" hidden="1"/>
  </cols>
  <sheetData>
    <row r="1" spans="1:22" s="53" customFormat="1" x14ac:dyDescent="0.25">
      <c r="A1" s="130"/>
      <c r="B1" s="130"/>
      <c r="C1" s="130"/>
      <c r="D1" s="130"/>
      <c r="E1" s="130"/>
      <c r="F1" s="130"/>
      <c r="G1" s="130"/>
      <c r="H1" s="130"/>
      <c r="I1" s="130"/>
      <c r="J1" s="130"/>
      <c r="K1" s="130"/>
      <c r="L1" s="130"/>
      <c r="M1" s="130"/>
      <c r="N1" s="130"/>
      <c r="O1" s="130"/>
      <c r="P1" s="130"/>
      <c r="Q1" s="130"/>
      <c r="R1" s="133"/>
      <c r="S1" s="133"/>
      <c r="T1" s="133"/>
      <c r="U1" s="133"/>
    </row>
    <row r="2" spans="1:22" s="53" customFormat="1" x14ac:dyDescent="0.25">
      <c r="A2" s="130"/>
      <c r="B2" s="130"/>
      <c r="C2" s="130"/>
      <c r="D2" s="130"/>
      <c r="E2" s="130"/>
      <c r="F2" s="130"/>
      <c r="G2" s="130"/>
      <c r="H2" s="130"/>
      <c r="I2" s="130"/>
      <c r="J2" s="130"/>
      <c r="K2" s="130"/>
      <c r="L2" s="130"/>
      <c r="M2" s="130"/>
      <c r="N2" s="130"/>
      <c r="O2" s="130"/>
      <c r="P2" s="130"/>
      <c r="Q2" s="130"/>
      <c r="R2" s="133"/>
      <c r="S2" s="133"/>
      <c r="T2" s="133"/>
      <c r="U2" s="133"/>
    </row>
    <row r="3" spans="1:22" s="53" customFormat="1" x14ac:dyDescent="0.25">
      <c r="A3" s="130"/>
      <c r="B3" s="130"/>
      <c r="C3" s="130"/>
      <c r="D3" s="130"/>
      <c r="E3" s="130"/>
      <c r="F3" s="130"/>
      <c r="G3" s="130"/>
      <c r="H3" s="130"/>
      <c r="I3" s="130"/>
      <c r="J3" s="130"/>
      <c r="K3" s="130"/>
      <c r="L3" s="130"/>
      <c r="M3" s="130"/>
      <c r="N3" s="130"/>
      <c r="O3" s="130"/>
      <c r="P3" s="130"/>
      <c r="Q3" s="130"/>
      <c r="R3" s="133"/>
      <c r="S3" s="133"/>
      <c r="T3" s="133"/>
      <c r="U3" s="133"/>
    </row>
    <row r="4" spans="1:22" s="53" customFormat="1" ht="18" x14ac:dyDescent="0.25">
      <c r="A4" s="130"/>
      <c r="B4" s="180" t="s">
        <v>0</v>
      </c>
      <c r="C4" s="180"/>
      <c r="D4" s="180"/>
      <c r="E4" s="180"/>
      <c r="F4" s="180"/>
      <c r="G4" s="180"/>
      <c r="H4" s="180"/>
      <c r="I4" s="180"/>
      <c r="J4" s="180"/>
      <c r="K4" s="180"/>
      <c r="L4" s="180"/>
      <c r="M4" s="180"/>
      <c r="N4" s="180"/>
      <c r="O4" s="180"/>
      <c r="P4" s="180"/>
      <c r="Q4" s="180"/>
      <c r="R4" s="133"/>
      <c r="S4" s="133"/>
      <c r="T4" s="133"/>
      <c r="U4" s="133"/>
    </row>
    <row r="5" spans="1:22" s="132" customFormat="1" ht="34.5" customHeight="1" x14ac:dyDescent="0.25">
      <c r="A5" s="120"/>
      <c r="B5" s="185" t="s">
        <v>95</v>
      </c>
      <c r="C5" s="185"/>
      <c r="D5" s="185"/>
      <c r="E5" s="185"/>
      <c r="F5" s="185"/>
      <c r="G5" s="185"/>
      <c r="H5" s="185"/>
      <c r="I5" s="185"/>
      <c r="J5" s="185"/>
      <c r="K5" s="185"/>
      <c r="L5" s="185"/>
      <c r="M5" s="185"/>
      <c r="N5" s="185"/>
      <c r="O5" s="185"/>
      <c r="P5" s="185"/>
      <c r="Q5" s="185"/>
      <c r="R5" s="185"/>
      <c r="S5" s="185"/>
      <c r="T5" s="185"/>
      <c r="U5" s="123"/>
    </row>
    <row r="6" spans="1:22" s="132" customFormat="1" ht="15.75" x14ac:dyDescent="0.25">
      <c r="A6" s="120"/>
      <c r="B6" s="120"/>
      <c r="C6" s="120"/>
      <c r="D6" s="120"/>
      <c r="E6" s="120"/>
      <c r="F6" s="120"/>
      <c r="G6" s="120"/>
      <c r="H6" s="120"/>
      <c r="I6" s="120"/>
      <c r="J6" s="120"/>
      <c r="K6" s="120"/>
      <c r="O6" s="181" t="s">
        <v>59</v>
      </c>
      <c r="P6" s="181"/>
      <c r="Q6" s="134">
        <f ca="1">TODAY()</f>
        <v>43531</v>
      </c>
      <c r="R6" s="135"/>
      <c r="S6" s="123"/>
      <c r="T6" s="123"/>
      <c r="U6" s="123"/>
    </row>
    <row r="7" spans="1:22" s="132" customFormat="1" ht="12.95" customHeight="1" x14ac:dyDescent="0.25">
      <c r="A7" s="120"/>
      <c r="B7" s="120"/>
      <c r="C7" s="120"/>
      <c r="D7" s="120"/>
      <c r="E7" s="120"/>
      <c r="F7" s="120"/>
      <c r="G7" s="120"/>
      <c r="H7" s="120"/>
      <c r="I7" s="120"/>
      <c r="J7" s="120"/>
      <c r="K7" s="120"/>
      <c r="L7" s="120"/>
      <c r="M7" s="120"/>
      <c r="N7" s="120"/>
      <c r="O7" s="120"/>
      <c r="P7" s="120"/>
      <c r="Q7" s="120"/>
      <c r="R7" s="123"/>
      <c r="S7" s="123"/>
      <c r="T7" s="123"/>
      <c r="U7" s="123"/>
    </row>
    <row r="8" spans="1:22" s="132" customFormat="1" ht="15.75" x14ac:dyDescent="0.25">
      <c r="A8" s="120"/>
      <c r="B8" s="182" t="s">
        <v>8</v>
      </c>
      <c r="C8" s="182"/>
      <c r="D8" s="182"/>
      <c r="E8" s="183" t="str">
        <f>IF('Solicitud de Apertura'!D5=0,"{                    Ingresar nombre de clientes                     }",'Solicitud de Apertura'!D5)</f>
        <v>{                    Ingresar nombre de clientes                     }</v>
      </c>
      <c r="F8" s="183"/>
      <c r="G8" s="183"/>
      <c r="H8" s="183"/>
      <c r="I8" s="183"/>
      <c r="J8" s="183"/>
      <c r="K8" s="183"/>
      <c r="L8" s="183"/>
      <c r="M8" s="183"/>
      <c r="N8" s="184" t="s">
        <v>40</v>
      </c>
      <c r="O8" s="184"/>
      <c r="P8" s="184"/>
      <c r="Q8" s="184"/>
      <c r="R8" s="123"/>
      <c r="S8" s="123"/>
      <c r="T8" s="123"/>
      <c r="U8" s="123"/>
    </row>
    <row r="9" spans="1:22" s="132" customFormat="1" ht="125.25" customHeight="1" x14ac:dyDescent="0.25">
      <c r="A9" s="120"/>
      <c r="B9" s="179" t="s">
        <v>97</v>
      </c>
      <c r="C9" s="179"/>
      <c r="D9" s="179"/>
      <c r="E9" s="179"/>
      <c r="F9" s="179"/>
      <c r="G9" s="179"/>
      <c r="H9" s="179"/>
      <c r="I9" s="179"/>
      <c r="J9" s="179"/>
      <c r="K9" s="179"/>
      <c r="L9" s="179"/>
      <c r="M9" s="179"/>
      <c r="N9" s="179"/>
      <c r="O9" s="179"/>
      <c r="P9" s="179"/>
      <c r="Q9" s="179"/>
      <c r="R9" s="123"/>
      <c r="S9" s="123"/>
      <c r="T9" s="123"/>
      <c r="U9" s="123"/>
    </row>
    <row r="10" spans="1:22" s="132" customFormat="1" ht="12.95" customHeight="1" x14ac:dyDescent="0.25">
      <c r="A10" s="120"/>
      <c r="B10" s="120"/>
      <c r="C10" s="120"/>
      <c r="D10" s="120"/>
      <c r="E10" s="120"/>
      <c r="F10" s="120"/>
      <c r="G10" s="120"/>
      <c r="H10" s="120"/>
      <c r="I10" s="120"/>
      <c r="J10" s="120"/>
      <c r="K10" s="120"/>
      <c r="L10" s="120"/>
      <c r="M10" s="120"/>
      <c r="N10" s="120"/>
      <c r="O10" s="120"/>
      <c r="P10" s="120"/>
      <c r="Q10" s="120"/>
      <c r="R10" s="123"/>
      <c r="S10" s="123"/>
      <c r="T10" s="123"/>
      <c r="U10" s="123"/>
    </row>
    <row r="11" spans="1:22" s="132" customFormat="1" ht="35.1" customHeight="1" x14ac:dyDescent="0.25">
      <c r="A11" s="120"/>
      <c r="B11" s="179" t="str">
        <f>'Individual Números a Letras'!C36</f>
        <v>Asimismo, el cliente acepta el envío del número de cuenta, así como la confirmación de la fecha de inicio y vencimiento de su depósito a plazo a la siguiente dirección: {   Dirección del cliente   }</v>
      </c>
      <c r="C11" s="179"/>
      <c r="D11" s="179"/>
      <c r="E11" s="179"/>
      <c r="F11" s="179"/>
      <c r="G11" s="179"/>
      <c r="H11" s="179"/>
      <c r="I11" s="179"/>
      <c r="J11" s="179"/>
      <c r="K11" s="179"/>
      <c r="L11" s="179"/>
      <c r="M11" s="179"/>
      <c r="N11" s="179"/>
      <c r="O11" s="179"/>
      <c r="P11" s="179"/>
      <c r="Q11" s="179"/>
      <c r="R11" s="123"/>
      <c r="S11" s="123"/>
      <c r="T11" s="123"/>
      <c r="U11" s="123"/>
    </row>
    <row r="12" spans="1:22" s="53" customFormat="1" ht="12.95" customHeight="1" x14ac:dyDescent="0.25">
      <c r="A12" s="130"/>
      <c r="B12" s="188"/>
      <c r="C12" s="188"/>
      <c r="D12" s="188"/>
      <c r="E12" s="188"/>
      <c r="F12" s="188"/>
      <c r="G12" s="188"/>
      <c r="H12" s="188"/>
      <c r="I12" s="188"/>
      <c r="J12" s="188"/>
      <c r="K12" s="188"/>
      <c r="L12" s="188"/>
      <c r="M12" s="188"/>
      <c r="N12" s="188"/>
      <c r="O12" s="188"/>
      <c r="P12" s="188"/>
      <c r="Q12" s="188"/>
      <c r="R12" s="124"/>
      <c r="S12" s="124"/>
      <c r="T12" s="124"/>
      <c r="U12" s="124"/>
      <c r="V12" s="124"/>
    </row>
    <row r="13" spans="1:22" s="53" customFormat="1" ht="17.45" customHeight="1" x14ac:dyDescent="0.25">
      <c r="A13" s="130"/>
      <c r="B13" s="182" t="s">
        <v>1</v>
      </c>
      <c r="C13" s="182"/>
      <c r="D13" s="182"/>
      <c r="E13" s="182"/>
      <c r="F13" s="182"/>
      <c r="G13" s="182"/>
      <c r="H13" s="182"/>
      <c r="I13" s="182"/>
      <c r="J13" s="182"/>
      <c r="K13" s="182"/>
      <c r="L13" s="182"/>
      <c r="M13" s="182"/>
      <c r="N13" s="182"/>
      <c r="O13" s="182"/>
      <c r="P13" s="182"/>
      <c r="Q13" s="182"/>
      <c r="R13" s="123"/>
      <c r="S13" s="123"/>
      <c r="T13" s="123"/>
      <c r="U13" s="123"/>
    </row>
    <row r="14" spans="1:22" s="53" customFormat="1" ht="12.95" customHeight="1" x14ac:dyDescent="0.25">
      <c r="A14" s="130"/>
      <c r="B14" s="120"/>
      <c r="C14" s="120"/>
      <c r="D14" s="120"/>
      <c r="E14" s="120"/>
      <c r="F14" s="120"/>
      <c r="G14" s="120"/>
      <c r="H14" s="120"/>
      <c r="I14" s="120"/>
      <c r="J14" s="120"/>
      <c r="K14" s="120"/>
      <c r="L14" s="120"/>
      <c r="M14" s="120"/>
      <c r="N14" s="120"/>
      <c r="O14" s="120"/>
      <c r="P14" s="120"/>
      <c r="Q14" s="120"/>
      <c r="R14" s="123"/>
      <c r="S14" s="123"/>
      <c r="T14" s="123"/>
      <c r="U14" s="123"/>
    </row>
    <row r="15" spans="1:22" s="53" customFormat="1" ht="17.45" customHeight="1" x14ac:dyDescent="0.25">
      <c r="A15" s="130"/>
      <c r="B15" s="131" t="s">
        <v>13</v>
      </c>
      <c r="C15" s="182" t="s">
        <v>27</v>
      </c>
      <c r="D15" s="182"/>
      <c r="E15" s="182"/>
      <c r="F15" s="182"/>
      <c r="G15" s="182"/>
      <c r="H15" s="182"/>
      <c r="I15" s="182"/>
      <c r="J15" s="182"/>
      <c r="K15" s="182"/>
      <c r="L15" s="182"/>
      <c r="M15" s="182"/>
      <c r="N15" s="182"/>
      <c r="O15" s="182"/>
      <c r="P15" s="182"/>
      <c r="Q15" s="182"/>
      <c r="R15" s="123"/>
      <c r="S15" s="123"/>
      <c r="T15" s="123"/>
      <c r="U15" s="123"/>
    </row>
    <row r="16" spans="1:22" s="53" customFormat="1" ht="17.45" customHeight="1" x14ac:dyDescent="0.25">
      <c r="A16" s="130"/>
      <c r="B16" s="120"/>
      <c r="C16" s="120"/>
      <c r="D16" s="136"/>
      <c r="E16" s="189" t="str">
        <f>IF('Solicitud de Apertura'!D11=0,"{ Tipo de Cuenta }",'Solicitud de Apertura'!D11&amp;":")</f>
        <v>{ Tipo de Cuenta }</v>
      </c>
      <c r="F16" s="189"/>
      <c r="G16" s="189"/>
      <c r="H16" s="189"/>
      <c r="I16" s="189"/>
      <c r="J16" s="189"/>
      <c r="K16" s="136" t="str">
        <f>IF('Solicitud de Apertura'!F9=0,"{N° de cuenta}",'Solicitud de Apertura'!D9&amp;'Solicitud de Apertura'!E9&amp;'Solicitud de Apertura'!F9)</f>
        <v>{N° de cuenta}</v>
      </c>
      <c r="L16" s="136"/>
      <c r="M16" s="136"/>
      <c r="N16" s="136"/>
      <c r="O16" s="130"/>
      <c r="P16" s="130"/>
      <c r="Q16" s="120"/>
      <c r="R16" s="123"/>
      <c r="S16" s="123"/>
      <c r="T16" s="123"/>
      <c r="U16" s="123"/>
    </row>
    <row r="17" spans="1:21" s="53" customFormat="1" ht="12.95" customHeight="1" x14ac:dyDescent="0.25">
      <c r="A17" s="130"/>
      <c r="B17" s="120"/>
      <c r="C17" s="120"/>
      <c r="D17" s="120"/>
      <c r="E17" s="120"/>
      <c r="F17" s="120"/>
      <c r="G17" s="120"/>
      <c r="H17" s="120"/>
      <c r="I17" s="120"/>
      <c r="J17" s="120"/>
      <c r="K17" s="120"/>
      <c r="L17" s="120"/>
      <c r="M17" s="120"/>
      <c r="N17" s="120"/>
      <c r="O17" s="120"/>
      <c r="P17" s="120"/>
      <c r="Q17" s="120"/>
      <c r="R17" s="123"/>
      <c r="S17" s="123"/>
      <c r="T17" s="123"/>
      <c r="U17" s="123"/>
    </row>
    <row r="18" spans="1:21" s="53" customFormat="1" ht="109.5" customHeight="1" x14ac:dyDescent="0.25">
      <c r="A18" s="130"/>
      <c r="B18" s="125"/>
      <c r="C18" s="189" t="s">
        <v>73</v>
      </c>
      <c r="D18" s="189"/>
      <c r="E18" s="189"/>
      <c r="F18" s="189"/>
      <c r="G18" s="189"/>
      <c r="H18" s="189"/>
      <c r="I18" s="189"/>
      <c r="J18" s="189"/>
      <c r="K18" s="189"/>
      <c r="L18" s="189"/>
      <c r="M18" s="189"/>
      <c r="N18" s="189"/>
      <c r="O18" s="189"/>
      <c r="P18" s="189"/>
      <c r="Q18" s="189"/>
      <c r="R18" s="123"/>
      <c r="S18" s="123"/>
      <c r="T18" s="123"/>
      <c r="U18" s="123"/>
    </row>
    <row r="19" spans="1:21" s="53" customFormat="1" ht="17.45" customHeight="1" x14ac:dyDescent="0.25">
      <c r="A19" s="130"/>
      <c r="B19" s="131" t="s">
        <v>13</v>
      </c>
      <c r="C19" s="182" t="s">
        <v>50</v>
      </c>
      <c r="D19" s="182"/>
      <c r="E19" s="182"/>
      <c r="F19" s="182"/>
      <c r="G19" s="182"/>
      <c r="H19" s="182"/>
      <c r="I19" s="182"/>
      <c r="J19" s="182"/>
      <c r="K19" s="182"/>
      <c r="L19" s="182"/>
      <c r="M19" s="182"/>
      <c r="N19" s="182"/>
      <c r="O19" s="182"/>
      <c r="P19" s="182"/>
      <c r="Q19" s="182"/>
      <c r="R19" s="123"/>
      <c r="S19" s="123"/>
      <c r="T19" s="123"/>
      <c r="U19" s="123"/>
    </row>
    <row r="20" spans="1:21" s="53" customFormat="1" ht="80.099999999999994" customHeight="1" x14ac:dyDescent="0.25">
      <c r="A20" s="130"/>
      <c r="B20" s="131"/>
      <c r="C20" s="191" t="s">
        <v>92</v>
      </c>
      <c r="D20" s="191"/>
      <c r="E20" s="191"/>
      <c r="F20" s="191"/>
      <c r="G20" s="191"/>
      <c r="H20" s="191"/>
      <c r="I20" s="191"/>
      <c r="J20" s="191"/>
      <c r="K20" s="191"/>
      <c r="L20" s="191"/>
      <c r="M20" s="191"/>
      <c r="N20" s="191"/>
      <c r="O20" s="191"/>
      <c r="P20" s="191"/>
      <c r="Q20" s="191"/>
      <c r="R20" s="123"/>
      <c r="S20" s="123"/>
      <c r="T20" s="123"/>
      <c r="U20" s="123"/>
    </row>
    <row r="21" spans="1:21" s="53" customFormat="1" ht="12.95" customHeight="1" x14ac:dyDescent="0.25">
      <c r="A21" s="130"/>
      <c r="B21" s="131"/>
      <c r="C21" s="120"/>
      <c r="D21" s="120"/>
      <c r="E21" s="120"/>
      <c r="F21" s="120"/>
      <c r="G21" s="120"/>
      <c r="H21" s="120"/>
      <c r="I21" s="120"/>
      <c r="J21" s="120"/>
      <c r="K21" s="120"/>
      <c r="L21" s="120"/>
      <c r="M21" s="120"/>
      <c r="N21" s="120"/>
      <c r="O21" s="120"/>
      <c r="P21" s="120"/>
      <c r="Q21" s="120"/>
      <c r="R21" s="123"/>
      <c r="S21" s="123"/>
      <c r="T21" s="123"/>
      <c r="U21" s="123"/>
    </row>
    <row r="22" spans="1:21" s="53" customFormat="1" ht="45" customHeight="1" x14ac:dyDescent="0.25">
      <c r="A22" s="130"/>
      <c r="B22" s="131"/>
      <c r="C22" s="191" t="s">
        <v>93</v>
      </c>
      <c r="D22" s="191"/>
      <c r="E22" s="191"/>
      <c r="F22" s="191"/>
      <c r="G22" s="191"/>
      <c r="H22" s="191"/>
      <c r="I22" s="191"/>
      <c r="J22" s="191"/>
      <c r="K22" s="191"/>
      <c r="L22" s="191"/>
      <c r="M22" s="191"/>
      <c r="N22" s="191"/>
      <c r="O22" s="191"/>
      <c r="P22" s="191"/>
      <c r="Q22" s="191"/>
      <c r="R22" s="123"/>
      <c r="S22" s="123"/>
      <c r="T22" s="123"/>
      <c r="U22" s="123"/>
    </row>
    <row r="23" spans="1:21" s="53" customFormat="1" ht="12.95" customHeight="1" x14ac:dyDescent="0.25">
      <c r="A23" s="130"/>
      <c r="B23" s="125"/>
      <c r="C23" s="137"/>
      <c r="D23" s="137"/>
      <c r="E23" s="137"/>
      <c r="F23" s="137"/>
      <c r="G23" s="137"/>
      <c r="H23" s="137"/>
      <c r="I23" s="137"/>
      <c r="J23" s="137"/>
      <c r="K23" s="137"/>
      <c r="L23" s="137"/>
      <c r="M23" s="137"/>
      <c r="N23" s="137"/>
      <c r="O23" s="137"/>
      <c r="P23" s="137"/>
      <c r="Q23" s="137"/>
      <c r="R23" s="123"/>
      <c r="S23" s="123"/>
      <c r="T23" s="123"/>
      <c r="U23" s="123"/>
    </row>
    <row r="24" spans="1:21" s="53" customFormat="1" ht="17.45" customHeight="1" x14ac:dyDescent="0.25">
      <c r="A24" s="130"/>
      <c r="B24" s="125"/>
      <c r="C24" s="120"/>
      <c r="D24" s="120"/>
      <c r="E24" s="186" t="s">
        <v>2</v>
      </c>
      <c r="F24" s="186"/>
      <c r="G24" s="186"/>
      <c r="H24" s="186"/>
      <c r="I24" s="186"/>
      <c r="J24" s="186"/>
      <c r="K24" s="186"/>
      <c r="L24" s="193" t="s">
        <v>3</v>
      </c>
      <c r="M24" s="186"/>
      <c r="N24" s="186"/>
      <c r="O24" s="120"/>
      <c r="P24" s="120"/>
      <c r="Q24" s="120"/>
      <c r="R24" s="123"/>
      <c r="S24" s="123"/>
      <c r="T24" s="123"/>
      <c r="U24" s="123"/>
    </row>
    <row r="25" spans="1:21" s="53" customFormat="1" ht="17.45" customHeight="1" x14ac:dyDescent="0.25">
      <c r="A25" s="130"/>
      <c r="B25" s="125"/>
      <c r="C25" s="120"/>
      <c r="D25" s="120"/>
      <c r="E25" s="186" t="s">
        <v>46</v>
      </c>
      <c r="F25" s="186"/>
      <c r="G25" s="186"/>
      <c r="H25" s="186"/>
      <c r="I25" s="186"/>
      <c r="J25" s="186"/>
      <c r="K25" s="186"/>
      <c r="L25" s="187">
        <v>1.5</v>
      </c>
      <c r="M25" s="187"/>
      <c r="N25" s="187"/>
      <c r="O25" s="120"/>
      <c r="P25" s="120"/>
      <c r="Q25" s="120"/>
      <c r="R25" s="123"/>
      <c r="S25" s="123"/>
      <c r="T25" s="123"/>
      <c r="U25" s="123"/>
    </row>
    <row r="26" spans="1:21" s="53" customFormat="1" ht="17.45" customHeight="1" x14ac:dyDescent="0.25">
      <c r="A26" s="130"/>
      <c r="B26" s="125"/>
      <c r="C26" s="120"/>
      <c r="D26" s="120"/>
      <c r="E26" s="186" t="s">
        <v>47</v>
      </c>
      <c r="F26" s="186"/>
      <c r="G26" s="186"/>
      <c r="H26" s="186"/>
      <c r="I26" s="186"/>
      <c r="J26" s="186"/>
      <c r="K26" s="186"/>
      <c r="L26" s="198">
        <v>2</v>
      </c>
      <c r="M26" s="198"/>
      <c r="N26" s="198"/>
      <c r="O26" s="150"/>
      <c r="P26" s="120"/>
      <c r="Q26" s="120"/>
      <c r="R26" s="123"/>
      <c r="S26" s="123"/>
      <c r="T26" s="123"/>
      <c r="U26" s="123"/>
    </row>
    <row r="27" spans="1:21" s="53" customFormat="1" ht="17.45" customHeight="1" x14ac:dyDescent="0.25">
      <c r="A27" s="130"/>
      <c r="B27" s="125"/>
      <c r="C27" s="120"/>
      <c r="D27" s="120"/>
      <c r="E27" s="186" t="s">
        <v>4</v>
      </c>
      <c r="F27" s="186"/>
      <c r="G27" s="186"/>
      <c r="H27" s="186"/>
      <c r="I27" s="186"/>
      <c r="J27" s="186"/>
      <c r="K27" s="186"/>
      <c r="L27" s="198">
        <v>2.5</v>
      </c>
      <c r="M27" s="198"/>
      <c r="N27" s="198"/>
      <c r="O27" s="150"/>
      <c r="P27" s="120"/>
      <c r="Q27" s="120"/>
      <c r="R27" s="123"/>
      <c r="S27" s="123"/>
      <c r="T27" s="123"/>
      <c r="U27" s="123"/>
    </row>
    <row r="28" spans="1:21" s="53" customFormat="1" ht="17.45" customHeight="1" x14ac:dyDescent="0.25">
      <c r="A28" s="130"/>
      <c r="B28" s="125"/>
      <c r="C28" s="120"/>
      <c r="D28" s="120"/>
      <c r="E28" s="186" t="s">
        <v>5</v>
      </c>
      <c r="F28" s="186"/>
      <c r="G28" s="186"/>
      <c r="H28" s="186"/>
      <c r="I28" s="186"/>
      <c r="J28" s="186"/>
      <c r="K28" s="186"/>
      <c r="L28" s="198">
        <v>3</v>
      </c>
      <c r="M28" s="198"/>
      <c r="N28" s="198"/>
      <c r="O28" s="150"/>
      <c r="P28" s="120"/>
      <c r="Q28" s="120"/>
      <c r="R28" s="123"/>
      <c r="S28" s="123"/>
      <c r="T28" s="123"/>
      <c r="U28" s="123"/>
    </row>
    <row r="29" spans="1:21" s="53" customFormat="1" ht="12.95" customHeight="1" x14ac:dyDescent="0.25">
      <c r="A29" s="130"/>
      <c r="B29" s="125"/>
      <c r="C29" s="120"/>
      <c r="D29" s="120"/>
      <c r="E29" s="120"/>
      <c r="F29" s="120"/>
      <c r="G29" s="120"/>
      <c r="H29" s="120"/>
      <c r="I29" s="120"/>
      <c r="J29" s="120"/>
      <c r="K29" s="120"/>
      <c r="L29" s="120"/>
      <c r="M29" s="120"/>
      <c r="N29" s="120"/>
      <c r="O29" s="120"/>
      <c r="P29" s="120"/>
      <c r="Q29" s="120"/>
      <c r="R29" s="123"/>
      <c r="S29" s="123"/>
      <c r="T29" s="123"/>
      <c r="U29" s="123"/>
    </row>
    <row r="30" spans="1:21" s="139" customFormat="1" ht="47.25" customHeight="1" x14ac:dyDescent="0.25">
      <c r="A30" s="138"/>
      <c r="B30" s="191" t="s">
        <v>76</v>
      </c>
      <c r="C30" s="191"/>
      <c r="D30" s="191"/>
      <c r="E30" s="191"/>
      <c r="F30" s="191"/>
      <c r="G30" s="191"/>
      <c r="H30" s="191"/>
      <c r="I30" s="191"/>
      <c r="J30" s="191"/>
      <c r="K30" s="191"/>
      <c r="L30" s="191"/>
      <c r="M30" s="191"/>
      <c r="N30" s="191"/>
      <c r="O30" s="191"/>
      <c r="P30" s="191"/>
      <c r="Q30" s="191"/>
      <c r="R30" s="124"/>
      <c r="S30" s="124"/>
      <c r="T30" s="124"/>
      <c r="U30" s="124"/>
    </row>
    <row r="31" spans="1:21" s="139" customFormat="1" ht="12.95" customHeight="1" x14ac:dyDescent="0.25">
      <c r="A31" s="138"/>
      <c r="B31" s="119"/>
      <c r="C31" s="119"/>
      <c r="D31" s="119"/>
      <c r="E31" s="119"/>
      <c r="F31" s="119"/>
      <c r="G31" s="119"/>
      <c r="H31" s="119"/>
      <c r="I31" s="119"/>
      <c r="J31" s="119"/>
      <c r="K31" s="119"/>
      <c r="L31" s="119"/>
      <c r="M31" s="119"/>
      <c r="N31" s="119"/>
      <c r="O31" s="119"/>
      <c r="P31" s="119"/>
      <c r="Q31" s="119"/>
      <c r="R31" s="124"/>
      <c r="S31" s="124"/>
      <c r="T31" s="124"/>
      <c r="U31" s="124"/>
    </row>
    <row r="32" spans="1:21" s="139" customFormat="1" ht="17.45" customHeight="1" x14ac:dyDescent="0.25">
      <c r="A32" s="138"/>
      <c r="B32" s="192" t="s">
        <v>19</v>
      </c>
      <c r="C32" s="192"/>
      <c r="D32" s="192"/>
      <c r="E32" s="192"/>
      <c r="F32" s="192"/>
      <c r="G32" s="192"/>
      <c r="H32" s="192"/>
      <c r="I32" s="192"/>
      <c r="J32" s="192"/>
      <c r="K32" s="192"/>
      <c r="L32" s="192"/>
      <c r="M32" s="192"/>
      <c r="N32" s="192"/>
      <c r="O32" s="192"/>
      <c r="P32" s="192"/>
      <c r="Q32" s="192"/>
      <c r="R32" s="124"/>
      <c r="S32" s="124"/>
      <c r="T32" s="124"/>
      <c r="U32" s="124"/>
    </row>
    <row r="33" spans="1:21" s="139" customFormat="1" ht="318" customHeight="1" x14ac:dyDescent="0.25">
      <c r="A33" s="138"/>
      <c r="B33" s="191" t="s">
        <v>96</v>
      </c>
      <c r="C33" s="191"/>
      <c r="D33" s="191"/>
      <c r="E33" s="191"/>
      <c r="F33" s="191"/>
      <c r="G33" s="191"/>
      <c r="H33" s="191"/>
      <c r="I33" s="191"/>
      <c r="J33" s="191"/>
      <c r="K33" s="191"/>
      <c r="L33" s="191"/>
      <c r="M33" s="191"/>
      <c r="N33" s="191"/>
      <c r="O33" s="191"/>
      <c r="P33" s="191"/>
      <c r="Q33" s="191"/>
      <c r="R33" s="124"/>
      <c r="S33" s="124"/>
      <c r="T33" s="124"/>
      <c r="U33" s="124"/>
    </row>
    <row r="34" spans="1:21" s="139" customFormat="1" ht="12.95" customHeight="1" x14ac:dyDescent="0.25">
      <c r="A34" s="138"/>
      <c r="B34" s="140"/>
      <c r="C34" s="140"/>
      <c r="D34" s="140"/>
      <c r="E34" s="140"/>
      <c r="F34" s="140"/>
      <c r="G34" s="140"/>
      <c r="H34" s="140"/>
      <c r="I34" s="140"/>
      <c r="J34" s="140"/>
      <c r="K34" s="140"/>
      <c r="L34" s="140"/>
      <c r="M34" s="140"/>
      <c r="N34" s="140"/>
      <c r="O34" s="140"/>
      <c r="P34" s="140"/>
      <c r="Q34" s="140"/>
      <c r="R34" s="124"/>
      <c r="S34" s="124"/>
      <c r="T34" s="124"/>
      <c r="U34" s="124"/>
    </row>
    <row r="35" spans="1:21" s="53" customFormat="1" ht="48" customHeight="1" x14ac:dyDescent="0.25">
      <c r="A35" s="130"/>
      <c r="B35" s="179" t="s">
        <v>6</v>
      </c>
      <c r="C35" s="179"/>
      <c r="D35" s="179"/>
      <c r="E35" s="179"/>
      <c r="F35" s="179"/>
      <c r="G35" s="179"/>
      <c r="H35" s="179"/>
      <c r="I35" s="179"/>
      <c r="J35" s="179"/>
      <c r="K35" s="179"/>
      <c r="L35" s="179"/>
      <c r="M35" s="179"/>
      <c r="N35" s="179"/>
      <c r="O35" s="179"/>
      <c r="P35" s="179"/>
      <c r="Q35" s="179"/>
      <c r="R35" s="123"/>
      <c r="S35" s="123"/>
      <c r="T35" s="123"/>
      <c r="U35" s="123"/>
    </row>
    <row r="36" spans="1:21" s="53" customFormat="1" ht="52.5" customHeight="1" x14ac:dyDescent="0.25">
      <c r="A36" s="130"/>
      <c r="C36" s="46"/>
      <c r="D36" s="141"/>
      <c r="E36" s="141"/>
      <c r="F36" s="141"/>
      <c r="G36" s="141"/>
      <c r="H36" s="141"/>
      <c r="I36" s="141"/>
      <c r="J36" s="141"/>
      <c r="L36" s="137"/>
      <c r="M36" s="46"/>
      <c r="N36" s="141"/>
      <c r="O36" s="141"/>
      <c r="P36" s="141"/>
      <c r="Q36" s="137"/>
      <c r="R36" s="123"/>
      <c r="S36" s="123"/>
      <c r="T36" s="123"/>
      <c r="U36" s="123"/>
    </row>
    <row r="37" spans="1:21" s="53" customFormat="1" ht="17.45" customHeight="1" x14ac:dyDescent="0.25">
      <c r="A37" s="130"/>
      <c r="C37" s="190" t="str">
        <f>IF('Solicitud de Apertura'!D35=0,"{ Nombre del Vendedor }",'Solicitud de Apertura'!D35)</f>
        <v>{ Nombre del Vendedor }</v>
      </c>
      <c r="D37" s="190"/>
      <c r="E37" s="190"/>
      <c r="F37" s="190"/>
      <c r="G37" s="190"/>
      <c r="H37" s="190"/>
      <c r="I37" s="190"/>
      <c r="J37" s="190"/>
      <c r="L37" s="120"/>
      <c r="M37" s="190" t="s">
        <v>7</v>
      </c>
      <c r="N37" s="190"/>
      <c r="O37" s="190"/>
      <c r="P37" s="190"/>
      <c r="Q37" s="120"/>
      <c r="R37" s="123"/>
      <c r="S37" s="123"/>
      <c r="T37" s="123"/>
      <c r="U37" s="123"/>
    </row>
    <row r="38" spans="1:21" s="53" customFormat="1" ht="17.45" customHeight="1" x14ac:dyDescent="0.25">
      <c r="A38" s="130"/>
      <c r="C38" s="188" t="str">
        <f>IF(AND('Solicitud de Apertura'!D37="",'Solicitud de Apertura'!I37=""),"{  Puesto del Vendedor }",'Solicitud de Apertura'!D37&amp;" - Tienda "&amp;TEXT('Solicitud de Apertura'!I37,"000"))</f>
        <v>{  Puesto del Vendedor }</v>
      </c>
      <c r="D38" s="188"/>
      <c r="E38" s="188"/>
      <c r="F38" s="188"/>
      <c r="G38" s="188"/>
      <c r="H38" s="188"/>
      <c r="I38" s="188"/>
      <c r="J38" s="188"/>
      <c r="L38" s="120"/>
      <c r="M38" s="182" t="str">
        <f>IF(AND('Solicitud de Apertura'!D7="",'Solicitud de Apertura'!F7=""),"{  DNI del Cliente }",'Solicitud de Apertura'!D7&amp;": "&amp;'Solicitud de Apertura'!F7)</f>
        <v xml:space="preserve">DNI: </v>
      </c>
      <c r="N38" s="182"/>
      <c r="O38" s="182"/>
      <c r="P38" s="182"/>
      <c r="Q38" s="120"/>
      <c r="R38" s="123"/>
      <c r="S38" s="123"/>
      <c r="T38" s="123"/>
      <c r="U38" s="123"/>
    </row>
    <row r="39" spans="1:21" s="53" customFormat="1" x14ac:dyDescent="0.25">
      <c r="A39" s="130"/>
      <c r="B39" s="130"/>
      <c r="C39" s="130"/>
      <c r="D39" s="130"/>
      <c r="E39" s="130"/>
      <c r="F39" s="130"/>
      <c r="G39" s="130"/>
      <c r="H39" s="130"/>
      <c r="I39" s="130"/>
      <c r="J39" s="130"/>
      <c r="K39" s="130"/>
      <c r="L39" s="130"/>
      <c r="M39" s="130"/>
      <c r="N39" s="130"/>
      <c r="O39" s="130"/>
      <c r="P39" s="130"/>
      <c r="Q39" s="130"/>
      <c r="R39" s="133"/>
      <c r="S39" s="133"/>
      <c r="T39" s="133"/>
      <c r="U39" s="133"/>
    </row>
    <row r="40" spans="1:21" s="53" customFormat="1" x14ac:dyDescent="0.25">
      <c r="A40" s="130"/>
      <c r="B40" s="130"/>
      <c r="C40" s="130"/>
      <c r="D40" s="4"/>
      <c r="E40" s="130"/>
      <c r="F40" s="130"/>
      <c r="G40" s="130"/>
      <c r="H40" s="130"/>
      <c r="I40" s="130"/>
      <c r="J40" s="130"/>
      <c r="K40" s="130"/>
      <c r="L40" s="130"/>
      <c r="M40" s="130"/>
      <c r="N40" s="130"/>
      <c r="O40" s="130"/>
      <c r="P40" s="130"/>
      <c r="Q40" s="148" t="s">
        <v>98</v>
      </c>
      <c r="R40" s="178"/>
      <c r="S40" s="178"/>
      <c r="T40" s="178"/>
      <c r="U40" s="133"/>
    </row>
    <row r="41" spans="1:21" ht="16.5" customHeight="1" x14ac:dyDescent="0.3"/>
    <row r="42" spans="1:21" ht="16.5" hidden="1" customHeight="1" x14ac:dyDescent="0.3"/>
    <row r="43" spans="1:21" ht="16.5" hidden="1" customHeight="1" x14ac:dyDescent="0.3"/>
    <row r="44" spans="1:21" ht="16.5" hidden="1" customHeight="1" x14ac:dyDescent="0.3"/>
    <row r="45" spans="1:21" ht="16.5" hidden="1" customHeight="1" x14ac:dyDescent="0.3"/>
    <row r="46" spans="1:21" ht="16.5" hidden="1" customHeight="1" x14ac:dyDescent="0.3"/>
    <row r="47" spans="1:21" ht="16.5" hidden="1" customHeight="1" x14ac:dyDescent="0.3"/>
    <row r="48" spans="1:21" ht="16.5" hidden="1" customHeight="1" x14ac:dyDescent="0.3"/>
    <row r="49" ht="16.5" hidden="1" customHeight="1" x14ac:dyDescent="0.3"/>
    <row r="50" ht="16.5" hidden="1" customHeight="1" x14ac:dyDescent="0.3"/>
    <row r="51" ht="16.5" hidden="1" customHeight="1" x14ac:dyDescent="0.3"/>
    <row r="52" ht="16.5" hidden="1" customHeight="1" x14ac:dyDescent="0.3"/>
    <row r="53" ht="16.5" hidden="1" customHeight="1" x14ac:dyDescent="0.3"/>
    <row r="54" ht="16.5" hidden="1" customHeight="1" x14ac:dyDescent="0.3"/>
    <row r="55" ht="16.5" hidden="1" customHeight="1" x14ac:dyDescent="0.3"/>
    <row r="56" ht="16.5" hidden="1" customHeight="1" x14ac:dyDescent="0.3"/>
    <row r="57" ht="16.5" hidden="1" customHeight="1" x14ac:dyDescent="0.3"/>
    <row r="58" ht="16.5" hidden="1" customHeight="1" x14ac:dyDescent="0.3"/>
    <row r="59" ht="16.5" hidden="1" customHeight="1" x14ac:dyDescent="0.3"/>
    <row r="60" ht="16.5" hidden="1" customHeight="1" x14ac:dyDescent="0.3"/>
    <row r="61" ht="16.5" hidden="1" customHeight="1" x14ac:dyDescent="0.3"/>
    <row r="62" ht="16.5" hidden="1" customHeight="1" x14ac:dyDescent="0.3"/>
    <row r="63" ht="16.5" hidden="1" customHeight="1" x14ac:dyDescent="0.3"/>
  </sheetData>
  <sheetProtection selectLockedCells="1"/>
  <mergeCells count="35">
    <mergeCell ref="E16:J16"/>
    <mergeCell ref="C20:Q20"/>
    <mergeCell ref="B30:Q30"/>
    <mergeCell ref="B32:Q32"/>
    <mergeCell ref="B33:Q33"/>
    <mergeCell ref="E26:K26"/>
    <mergeCell ref="L26:N26"/>
    <mergeCell ref="E27:K27"/>
    <mergeCell ref="L27:N27"/>
    <mergeCell ref="E28:K28"/>
    <mergeCell ref="L28:N28"/>
    <mergeCell ref="C22:Q22"/>
    <mergeCell ref="E24:K24"/>
    <mergeCell ref="L24:N24"/>
    <mergeCell ref="C38:J38"/>
    <mergeCell ref="M38:P38"/>
    <mergeCell ref="B35:Q35"/>
    <mergeCell ref="C37:J37"/>
    <mergeCell ref="M37:P37"/>
    <mergeCell ref="R40:T40"/>
    <mergeCell ref="B9:Q9"/>
    <mergeCell ref="B4:Q4"/>
    <mergeCell ref="O6:P6"/>
    <mergeCell ref="B8:D8"/>
    <mergeCell ref="E8:M8"/>
    <mergeCell ref="N8:Q8"/>
    <mergeCell ref="B5:T5"/>
    <mergeCell ref="E25:K25"/>
    <mergeCell ref="L25:N25"/>
    <mergeCell ref="B11:Q11"/>
    <mergeCell ref="B12:Q12"/>
    <mergeCell ref="B13:Q13"/>
    <mergeCell ref="C15:Q15"/>
    <mergeCell ref="C18:Q18"/>
    <mergeCell ref="C19:Q19"/>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rgb="FFFF0000"/>
  </sheetPr>
  <dimension ref="A1:AD68"/>
  <sheetViews>
    <sheetView showGridLines="0" topLeftCell="A23" zoomScaleNormal="100" workbookViewId="0">
      <selection activeCell="O29" sqref="O29:O31"/>
    </sheetView>
  </sheetViews>
  <sheetFormatPr baseColWidth="10" defaultColWidth="0" defaultRowHeight="16.5" zeroHeight="1" x14ac:dyDescent="0.25"/>
  <cols>
    <col min="1" max="1" width="1.42578125" style="130" customWidth="1"/>
    <col min="2" max="2" width="5.28515625" style="130" customWidth="1"/>
    <col min="3" max="3" width="2.7109375" style="130" customWidth="1"/>
    <col min="4" max="4" width="3.7109375" style="130" customWidth="1"/>
    <col min="5" max="5" width="5.42578125" style="130" customWidth="1"/>
    <col min="6" max="6" width="4.85546875" style="130" customWidth="1"/>
    <col min="7" max="7" width="5.5703125" style="130" customWidth="1"/>
    <col min="8" max="8" width="3.42578125" style="130" customWidth="1"/>
    <col min="9" max="9" width="2.85546875" style="130" customWidth="1"/>
    <col min="10" max="10" width="6" style="130" customWidth="1"/>
    <col min="11" max="11" width="5.5703125" style="130" customWidth="1"/>
    <col min="12" max="12" width="4" style="130" customWidth="1"/>
    <col min="13" max="13" width="10.42578125" style="130" customWidth="1"/>
    <col min="14" max="14" width="3.140625" style="130" customWidth="1"/>
    <col min="15" max="15" width="5.28515625" style="130" customWidth="1"/>
    <col min="16" max="16" width="5.7109375" style="130" customWidth="1"/>
    <col min="17" max="17" width="20.28515625" style="130" customWidth="1"/>
    <col min="18" max="18" width="1.42578125" style="133" customWidth="1"/>
    <col min="19" max="20" width="2.140625" style="133" customWidth="1"/>
    <col min="21" max="21" width="7.28515625" style="133" hidden="1" customWidth="1"/>
    <col min="22" max="30" width="0" style="53" hidden="1" customWidth="1"/>
    <col min="31" max="16384" width="11.42578125" style="53" hidden="1"/>
  </cols>
  <sheetData>
    <row r="1" spans="1:22" x14ac:dyDescent="0.25"/>
    <row r="2" spans="1:22" x14ac:dyDescent="0.25"/>
    <row r="3" spans="1:22" x14ac:dyDescent="0.25"/>
    <row r="4" spans="1:22" ht="18" x14ac:dyDescent="0.25">
      <c r="B4" s="180" t="s">
        <v>0</v>
      </c>
      <c r="C4" s="180"/>
      <c r="D4" s="180"/>
      <c r="E4" s="180"/>
      <c r="F4" s="180"/>
      <c r="G4" s="180"/>
      <c r="H4" s="180"/>
      <c r="I4" s="180"/>
      <c r="J4" s="180"/>
      <c r="K4" s="180"/>
      <c r="L4" s="180"/>
      <c r="M4" s="180"/>
      <c r="N4" s="180"/>
      <c r="O4" s="180"/>
      <c r="P4" s="180"/>
      <c r="Q4" s="180"/>
    </row>
    <row r="5" spans="1:22" s="132" customFormat="1" ht="37.5" customHeight="1" x14ac:dyDescent="0.25">
      <c r="A5" s="120"/>
      <c r="B5" s="185" t="s">
        <v>95</v>
      </c>
      <c r="C5" s="185"/>
      <c r="D5" s="185"/>
      <c r="E5" s="185"/>
      <c r="F5" s="185"/>
      <c r="G5" s="185"/>
      <c r="H5" s="185"/>
      <c r="I5" s="185"/>
      <c r="J5" s="185"/>
      <c r="K5" s="185"/>
      <c r="L5" s="185"/>
      <c r="M5" s="185"/>
      <c r="N5" s="185"/>
      <c r="O5" s="185"/>
      <c r="P5" s="185"/>
      <c r="Q5" s="185"/>
      <c r="R5" s="185"/>
      <c r="S5" s="185"/>
      <c r="T5" s="185"/>
      <c r="U5" s="123"/>
    </row>
    <row r="6" spans="1:22" s="132" customFormat="1" ht="17.45" customHeight="1" x14ac:dyDescent="0.25">
      <c r="A6" s="120"/>
      <c r="B6" s="120"/>
      <c r="C6" s="120"/>
      <c r="D6" s="120"/>
      <c r="E6" s="120"/>
      <c r="F6" s="120"/>
      <c r="G6" s="120"/>
      <c r="H6" s="120"/>
      <c r="I6" s="120"/>
      <c r="J6" s="120"/>
      <c r="K6" s="120"/>
      <c r="O6" s="181" t="s">
        <v>59</v>
      </c>
      <c r="P6" s="181"/>
      <c r="Q6" s="134">
        <f ca="1">TODAY()</f>
        <v>43531</v>
      </c>
      <c r="R6" s="135"/>
      <c r="S6" s="123"/>
      <c r="T6" s="123"/>
      <c r="U6" s="123"/>
    </row>
    <row r="7" spans="1:22" s="132" customFormat="1" ht="12.95" customHeight="1" x14ac:dyDescent="0.25">
      <c r="A7" s="120"/>
      <c r="B7" s="120"/>
      <c r="C7" s="120"/>
      <c r="D7" s="120"/>
      <c r="E7" s="120"/>
      <c r="F7" s="120"/>
      <c r="G7" s="120"/>
      <c r="H7" s="120"/>
      <c r="I7" s="120"/>
      <c r="J7" s="120"/>
      <c r="K7" s="120"/>
      <c r="L7" s="120"/>
      <c r="M7" s="120"/>
      <c r="N7" s="120"/>
      <c r="O7" s="120"/>
      <c r="P7" s="120"/>
      <c r="Q7" s="120"/>
      <c r="R7" s="123"/>
      <c r="S7" s="123"/>
      <c r="T7" s="123"/>
      <c r="U7" s="123"/>
    </row>
    <row r="8" spans="1:22" s="132" customFormat="1" ht="17.45" customHeight="1" x14ac:dyDescent="0.25">
      <c r="A8" s="120"/>
      <c r="B8" s="182" t="s">
        <v>8</v>
      </c>
      <c r="C8" s="182"/>
      <c r="D8" s="182"/>
      <c r="E8" s="183" t="str">
        <f>IF('Solicitud de Apertura'!D5=0,"{                    Ingresar nombre de cliente 1                     }",'Solicitud de Apertura'!D5)</f>
        <v>{                    Ingresar nombre de cliente 1                     }</v>
      </c>
      <c r="F8" s="183"/>
      <c r="G8" s="183"/>
      <c r="H8" s="183"/>
      <c r="I8" s="183"/>
      <c r="J8" s="183"/>
      <c r="K8" s="183"/>
      <c r="L8" s="183"/>
      <c r="M8" s="183"/>
      <c r="O8" s="182" t="s">
        <v>78</v>
      </c>
      <c r="P8" s="182"/>
      <c r="Q8" s="182"/>
      <c r="R8" s="123"/>
      <c r="S8" s="123"/>
      <c r="T8" s="123"/>
      <c r="U8" s="123"/>
    </row>
    <row r="9" spans="1:22" s="132" customFormat="1" ht="17.45" customHeight="1" x14ac:dyDescent="0.25">
      <c r="A9" s="120"/>
      <c r="B9" s="120"/>
      <c r="C9" s="183" t="str">
        <f>IF('Solicitud de Apertura'!D23=0,"{                    Ingresar nombre de clientes 2                    }",'Solicitud de Apertura'!D23)</f>
        <v>{                    Ingresar nombre de clientes 2                    }</v>
      </c>
      <c r="D9" s="183"/>
      <c r="E9" s="183"/>
      <c r="F9" s="183"/>
      <c r="G9" s="183"/>
      <c r="H9" s="183"/>
      <c r="I9" s="183"/>
      <c r="J9" s="183"/>
      <c r="K9" s="183"/>
      <c r="L9" s="183"/>
      <c r="M9" s="183"/>
      <c r="N9" s="184" t="s">
        <v>40</v>
      </c>
      <c r="O9" s="184"/>
      <c r="P9" s="184"/>
      <c r="Q9" s="184"/>
      <c r="R9" s="123"/>
      <c r="S9" s="123"/>
      <c r="T9" s="123"/>
      <c r="U9" s="123"/>
    </row>
    <row r="10" spans="1:22" s="132" customFormat="1" ht="108.75" customHeight="1" x14ac:dyDescent="0.25">
      <c r="A10" s="120"/>
      <c r="B10" s="179" t="str">
        <f>'Mancomunado Números a Letras'!C32</f>
        <v>el monto de {  monto  } soles (S/) {         monto en letras         } de su cuenta N° { N° de cuenta } moneda soles (S/) al depósito a plazo fijo que Interbank abrirá a sus nombres dentro de los tres (3) días útiles siguientes. El depósito a plazo pagará una Tasa de Rendimiento Efectiva anual de {   TREA del Plazo   }, equivalente aproximadamente a 0.00 soles (S/) por concepto de interés total sobre el importe disponible, a un plazo de {   Años del plazo   } años, contados desde la fecha que se hace efectivo el depósito a plazo, bajo los términos del contrato suscrito entre el Cliente e Interbank. El cálculo de interés corresponden al Depósito a Plazo Jubilación. La presente cartilla no es negociable.</v>
      </c>
      <c r="C10" s="179"/>
      <c r="D10" s="179"/>
      <c r="E10" s="179"/>
      <c r="F10" s="179"/>
      <c r="G10" s="179"/>
      <c r="H10" s="179"/>
      <c r="I10" s="179"/>
      <c r="J10" s="179"/>
      <c r="K10" s="179"/>
      <c r="L10" s="179"/>
      <c r="M10" s="179"/>
      <c r="N10" s="179"/>
      <c r="O10" s="179"/>
      <c r="P10" s="179"/>
      <c r="Q10" s="179"/>
      <c r="R10" s="123"/>
      <c r="S10" s="123"/>
      <c r="T10" s="123"/>
      <c r="U10" s="123"/>
    </row>
    <row r="11" spans="1:22" s="132" customFormat="1" ht="12.95" customHeight="1" x14ac:dyDescent="0.25">
      <c r="A11" s="120"/>
      <c r="B11" s="120"/>
      <c r="C11" s="120"/>
      <c r="D11" s="120"/>
      <c r="E11" s="120"/>
      <c r="F11" s="120"/>
      <c r="G11" s="120"/>
      <c r="H11" s="120"/>
      <c r="I11" s="120"/>
      <c r="J11" s="120"/>
      <c r="K11" s="120"/>
      <c r="L11" s="120"/>
      <c r="M11" s="120"/>
      <c r="N11" s="120"/>
      <c r="O11" s="120"/>
      <c r="P11" s="120"/>
      <c r="Q11" s="120"/>
      <c r="R11" s="123"/>
      <c r="S11" s="123"/>
      <c r="T11" s="123"/>
      <c r="U11" s="123"/>
    </row>
    <row r="12" spans="1:22" s="132" customFormat="1" ht="35.1" customHeight="1" x14ac:dyDescent="0.25">
      <c r="A12" s="120"/>
      <c r="B12" s="179" t="str">
        <f>'Mancomunado Números a Letras'!C34</f>
        <v>Asimismo, los clientes aceptan el envío del número de cuenta, así como la confirmación de la fecha de inicio y vencimiento de su depósito a plazo a los siguientes:</v>
      </c>
      <c r="C12" s="179"/>
      <c r="D12" s="179"/>
      <c r="E12" s="179"/>
      <c r="F12" s="179"/>
      <c r="G12" s="179"/>
      <c r="H12" s="179"/>
      <c r="I12" s="179"/>
      <c r="J12" s="179"/>
      <c r="K12" s="179"/>
      <c r="L12" s="179"/>
      <c r="M12" s="179"/>
      <c r="N12" s="179"/>
      <c r="O12" s="179"/>
      <c r="P12" s="179"/>
      <c r="Q12" s="179"/>
      <c r="R12" s="123"/>
      <c r="S12" s="123"/>
      <c r="T12" s="123"/>
      <c r="U12" s="123"/>
    </row>
    <row r="13" spans="1:22" s="132" customFormat="1" ht="17.45" customHeight="1" x14ac:dyDescent="0.25">
      <c r="A13" s="120"/>
      <c r="C13" s="188" t="str">
        <f>'Mancomunado Números a Letras'!C35</f>
        <v>{ Dirección o Correo de Cliente 1}</v>
      </c>
      <c r="D13" s="188"/>
      <c r="E13" s="188"/>
      <c r="F13" s="188"/>
      <c r="G13" s="188"/>
      <c r="H13" s="188"/>
      <c r="I13" s="188"/>
      <c r="J13" s="188"/>
      <c r="K13" s="188"/>
      <c r="L13" s="188"/>
      <c r="M13" s="188"/>
      <c r="N13" s="188"/>
      <c r="O13" s="188"/>
      <c r="P13" s="188"/>
      <c r="Q13" s="188"/>
      <c r="R13" s="123"/>
      <c r="S13" s="123"/>
      <c r="T13" s="123"/>
      <c r="U13" s="123"/>
    </row>
    <row r="14" spans="1:22" s="132" customFormat="1" ht="17.45" customHeight="1" x14ac:dyDescent="0.25">
      <c r="A14" s="120"/>
      <c r="C14" s="188" t="str">
        <f>'Mancomunado Números a Letras'!C36</f>
        <v>{ Dirección o Correo de Cliente 2}</v>
      </c>
      <c r="D14" s="188"/>
      <c r="E14" s="188"/>
      <c r="F14" s="188"/>
      <c r="G14" s="188"/>
      <c r="H14" s="188"/>
      <c r="I14" s="188"/>
      <c r="J14" s="188"/>
      <c r="K14" s="188"/>
      <c r="L14" s="188"/>
      <c r="M14" s="188"/>
      <c r="N14" s="188"/>
      <c r="O14" s="188"/>
      <c r="P14" s="188"/>
      <c r="Q14" s="188"/>
      <c r="R14" s="123"/>
      <c r="S14" s="123"/>
      <c r="T14" s="123"/>
      <c r="U14" s="123"/>
    </row>
    <row r="15" spans="1:22" ht="12.95" customHeight="1" x14ac:dyDescent="0.25">
      <c r="B15" s="188"/>
      <c r="C15" s="188"/>
      <c r="D15" s="188"/>
      <c r="E15" s="188"/>
      <c r="F15" s="188"/>
      <c r="G15" s="188"/>
      <c r="H15" s="188"/>
      <c r="I15" s="188"/>
      <c r="J15" s="188"/>
      <c r="K15" s="188"/>
      <c r="L15" s="188"/>
      <c r="M15" s="188"/>
      <c r="N15" s="188"/>
      <c r="O15" s="188"/>
      <c r="P15" s="188"/>
      <c r="Q15" s="188"/>
      <c r="R15" s="124"/>
      <c r="S15" s="124"/>
      <c r="T15" s="124"/>
      <c r="U15" s="124"/>
      <c r="V15" s="124"/>
    </row>
    <row r="16" spans="1:22" ht="17.45" customHeight="1" x14ac:dyDescent="0.25">
      <c r="B16" s="182" t="s">
        <v>1</v>
      </c>
      <c r="C16" s="182"/>
      <c r="D16" s="182"/>
      <c r="E16" s="182"/>
      <c r="F16" s="182"/>
      <c r="G16" s="182"/>
      <c r="H16" s="182"/>
      <c r="I16" s="182"/>
      <c r="J16" s="182"/>
      <c r="K16" s="182"/>
      <c r="L16" s="182"/>
      <c r="M16" s="182"/>
      <c r="N16" s="182"/>
      <c r="O16" s="182"/>
      <c r="P16" s="182"/>
      <c r="Q16" s="182"/>
      <c r="R16" s="123"/>
      <c r="S16" s="123"/>
      <c r="T16" s="123"/>
      <c r="U16" s="123"/>
    </row>
    <row r="17" spans="2:21" ht="12.95" customHeight="1" x14ac:dyDescent="0.25">
      <c r="B17" s="120"/>
      <c r="C17" s="120"/>
      <c r="D17" s="120"/>
      <c r="E17" s="120"/>
      <c r="F17" s="120"/>
      <c r="G17" s="120"/>
      <c r="H17" s="120"/>
      <c r="I17" s="120"/>
      <c r="J17" s="120"/>
      <c r="K17" s="120"/>
      <c r="L17" s="120"/>
      <c r="M17" s="120"/>
      <c r="N17" s="120"/>
      <c r="O17" s="120"/>
      <c r="P17" s="120"/>
      <c r="Q17" s="120"/>
      <c r="R17" s="123"/>
      <c r="S17" s="123"/>
      <c r="T17" s="123"/>
      <c r="U17" s="123"/>
    </row>
    <row r="18" spans="2:21" ht="17.45" customHeight="1" x14ac:dyDescent="0.25">
      <c r="B18" s="131" t="s">
        <v>13</v>
      </c>
      <c r="C18" s="182" t="s">
        <v>27</v>
      </c>
      <c r="D18" s="182"/>
      <c r="E18" s="182"/>
      <c r="F18" s="182"/>
      <c r="G18" s="182"/>
      <c r="H18" s="182"/>
      <c r="I18" s="182"/>
      <c r="J18" s="182"/>
      <c r="K18" s="182"/>
      <c r="L18" s="182"/>
      <c r="M18" s="182"/>
      <c r="N18" s="182"/>
      <c r="O18" s="182"/>
      <c r="P18" s="182"/>
      <c r="Q18" s="182"/>
      <c r="R18" s="123"/>
      <c r="S18" s="123"/>
      <c r="T18" s="123"/>
      <c r="U18" s="123"/>
    </row>
    <row r="19" spans="2:21" ht="17.45" customHeight="1" x14ac:dyDescent="0.25">
      <c r="B19" s="120"/>
      <c r="C19" s="120"/>
      <c r="D19" s="136"/>
      <c r="E19" s="189" t="str">
        <f>IF('Solicitud de Apertura'!D11=0,"{ Tipo de Cuenta }",'Solicitud de Apertura'!D11&amp;":")</f>
        <v>{ Tipo de Cuenta }</v>
      </c>
      <c r="F19" s="189"/>
      <c r="G19" s="189"/>
      <c r="H19" s="189"/>
      <c r="I19" s="189"/>
      <c r="J19" s="189"/>
      <c r="K19" s="136" t="str">
        <f>IF('Solicitud de Apertura'!F9=0,"{N° de cuenta}",'Solicitud de Apertura'!D9&amp;'Solicitud de Apertura'!E9&amp;'Solicitud de Apertura'!F9)</f>
        <v>{N° de cuenta}</v>
      </c>
      <c r="L19" s="136"/>
      <c r="M19" s="136"/>
      <c r="N19" s="123"/>
      <c r="O19" s="120"/>
      <c r="P19" s="120"/>
      <c r="Q19" s="120"/>
      <c r="R19" s="123"/>
      <c r="S19" s="123"/>
      <c r="T19" s="123"/>
      <c r="U19" s="123"/>
    </row>
    <row r="20" spans="2:21" ht="12.95" customHeight="1" x14ac:dyDescent="0.25">
      <c r="B20" s="120"/>
      <c r="C20" s="120"/>
      <c r="D20" s="120"/>
      <c r="E20" s="120"/>
      <c r="F20" s="120"/>
      <c r="G20" s="120"/>
      <c r="H20" s="120"/>
      <c r="I20" s="120"/>
      <c r="J20" s="120"/>
      <c r="K20" s="120"/>
      <c r="L20" s="120"/>
      <c r="M20" s="120"/>
      <c r="N20" s="120"/>
      <c r="O20" s="120"/>
      <c r="P20" s="120"/>
      <c r="Q20" s="120"/>
      <c r="R20" s="123"/>
      <c r="S20" s="123"/>
      <c r="T20" s="123"/>
      <c r="U20" s="123"/>
    </row>
    <row r="21" spans="2:21" ht="109.5" customHeight="1" x14ac:dyDescent="0.25">
      <c r="B21" s="125"/>
      <c r="C21" s="189" t="s">
        <v>73</v>
      </c>
      <c r="D21" s="189"/>
      <c r="E21" s="189"/>
      <c r="F21" s="189"/>
      <c r="G21" s="189"/>
      <c r="H21" s="189"/>
      <c r="I21" s="189"/>
      <c r="J21" s="189"/>
      <c r="K21" s="189"/>
      <c r="L21" s="189"/>
      <c r="M21" s="189"/>
      <c r="N21" s="189"/>
      <c r="O21" s="189"/>
      <c r="P21" s="189"/>
      <c r="Q21" s="189"/>
      <c r="R21" s="123"/>
      <c r="S21" s="123"/>
      <c r="T21" s="123"/>
      <c r="U21" s="123"/>
    </row>
    <row r="22" spans="2:21" ht="17.45" customHeight="1" x14ac:dyDescent="0.25">
      <c r="B22" s="131" t="s">
        <v>13</v>
      </c>
      <c r="C22" s="182" t="s">
        <v>50</v>
      </c>
      <c r="D22" s="182"/>
      <c r="E22" s="182"/>
      <c r="F22" s="182"/>
      <c r="G22" s="182"/>
      <c r="H22" s="182"/>
      <c r="I22" s="182"/>
      <c r="J22" s="182"/>
      <c r="K22" s="182"/>
      <c r="L22" s="182"/>
      <c r="M22" s="182"/>
      <c r="N22" s="182"/>
      <c r="O22" s="182"/>
      <c r="P22" s="182"/>
      <c r="Q22" s="182"/>
      <c r="R22" s="123"/>
      <c r="S22" s="123"/>
      <c r="T22" s="123"/>
      <c r="U22" s="123"/>
    </row>
    <row r="23" spans="2:21" ht="80.099999999999994" customHeight="1" x14ac:dyDescent="0.25">
      <c r="B23" s="131"/>
      <c r="C23" s="191" t="s">
        <v>92</v>
      </c>
      <c r="D23" s="191"/>
      <c r="E23" s="191"/>
      <c r="F23" s="191"/>
      <c r="G23" s="191"/>
      <c r="H23" s="191"/>
      <c r="I23" s="191"/>
      <c r="J23" s="191"/>
      <c r="K23" s="191"/>
      <c r="L23" s="191"/>
      <c r="M23" s="191"/>
      <c r="N23" s="191"/>
      <c r="O23" s="191"/>
      <c r="P23" s="191"/>
      <c r="Q23" s="191"/>
      <c r="R23" s="123"/>
      <c r="S23" s="123"/>
      <c r="T23" s="123"/>
      <c r="U23" s="123"/>
    </row>
    <row r="24" spans="2:21" ht="12.95" customHeight="1" x14ac:dyDescent="0.25">
      <c r="B24" s="131"/>
      <c r="C24" s="120"/>
      <c r="D24" s="120"/>
      <c r="E24" s="120"/>
      <c r="F24" s="120"/>
      <c r="G24" s="120"/>
      <c r="H24" s="120"/>
      <c r="I24" s="120"/>
      <c r="J24" s="120"/>
      <c r="K24" s="120"/>
      <c r="L24" s="120"/>
      <c r="M24" s="120"/>
      <c r="N24" s="120"/>
      <c r="O24" s="120"/>
      <c r="P24" s="120"/>
      <c r="Q24" s="120"/>
      <c r="R24" s="123"/>
      <c r="S24" s="123"/>
      <c r="T24" s="123"/>
      <c r="U24" s="123"/>
    </row>
    <row r="25" spans="2:21" ht="45" customHeight="1" x14ac:dyDescent="0.25">
      <c r="B25" s="131"/>
      <c r="C25" s="191" t="s">
        <v>93</v>
      </c>
      <c r="D25" s="191"/>
      <c r="E25" s="191"/>
      <c r="F25" s="191"/>
      <c r="G25" s="191"/>
      <c r="H25" s="191"/>
      <c r="I25" s="191"/>
      <c r="J25" s="191"/>
      <c r="K25" s="191"/>
      <c r="L25" s="191"/>
      <c r="M25" s="191"/>
      <c r="N25" s="191"/>
      <c r="O25" s="191"/>
      <c r="P25" s="191"/>
      <c r="Q25" s="191"/>
      <c r="R25" s="123"/>
      <c r="S25" s="123"/>
      <c r="T25" s="123"/>
      <c r="U25" s="123"/>
    </row>
    <row r="26" spans="2:21" ht="12.95" customHeight="1" x14ac:dyDescent="0.25">
      <c r="B26" s="125"/>
      <c r="C26" s="137"/>
      <c r="D26" s="137"/>
      <c r="E26" s="137"/>
      <c r="F26" s="137"/>
      <c r="G26" s="137"/>
      <c r="H26" s="137"/>
      <c r="I26" s="137"/>
      <c r="J26" s="137"/>
      <c r="K26" s="137"/>
      <c r="L26" s="137"/>
      <c r="M26" s="137"/>
      <c r="N26" s="137"/>
      <c r="O26" s="137"/>
      <c r="P26" s="137"/>
      <c r="Q26" s="137"/>
      <c r="R26" s="123"/>
      <c r="S26" s="123"/>
      <c r="T26" s="123"/>
      <c r="U26" s="123"/>
    </row>
    <row r="27" spans="2:21" ht="15" customHeight="1" x14ac:dyDescent="0.25">
      <c r="B27" s="125"/>
      <c r="C27" s="120"/>
      <c r="D27" s="120"/>
      <c r="E27" s="186" t="s">
        <v>2</v>
      </c>
      <c r="F27" s="186"/>
      <c r="G27" s="186"/>
      <c r="H27" s="186"/>
      <c r="I27" s="186"/>
      <c r="J27" s="186"/>
      <c r="K27" s="186"/>
      <c r="L27" s="193" t="s">
        <v>3</v>
      </c>
      <c r="M27" s="186"/>
      <c r="N27" s="186"/>
      <c r="O27" s="120"/>
      <c r="P27" s="120"/>
      <c r="Q27" s="120"/>
      <c r="R27" s="123"/>
      <c r="S27" s="123"/>
      <c r="T27" s="123"/>
      <c r="U27" s="123"/>
    </row>
    <row r="28" spans="2:21" ht="15" customHeight="1" x14ac:dyDescent="0.25">
      <c r="B28" s="125"/>
      <c r="C28" s="120"/>
      <c r="D28" s="120"/>
      <c r="E28" s="186" t="s">
        <v>46</v>
      </c>
      <c r="F28" s="186"/>
      <c r="G28" s="186"/>
      <c r="H28" s="186"/>
      <c r="I28" s="186"/>
      <c r="J28" s="186"/>
      <c r="K28" s="186"/>
      <c r="L28" s="187">
        <v>1.5</v>
      </c>
      <c r="M28" s="187"/>
      <c r="N28" s="187"/>
      <c r="O28" s="149"/>
      <c r="P28" s="120"/>
      <c r="Q28" s="120"/>
      <c r="R28" s="123"/>
      <c r="S28" s="123"/>
      <c r="T28" s="123"/>
      <c r="U28" s="123"/>
    </row>
    <row r="29" spans="2:21" ht="15" customHeight="1" x14ac:dyDescent="0.25">
      <c r="B29" s="125"/>
      <c r="C29" s="120"/>
      <c r="D29" s="120"/>
      <c r="E29" s="186" t="s">
        <v>47</v>
      </c>
      <c r="F29" s="186"/>
      <c r="G29" s="186"/>
      <c r="H29" s="186"/>
      <c r="I29" s="186"/>
      <c r="J29" s="186"/>
      <c r="K29" s="186"/>
      <c r="L29" s="198">
        <v>2</v>
      </c>
      <c r="M29" s="198"/>
      <c r="N29" s="198"/>
      <c r="O29" s="151"/>
      <c r="P29" s="120"/>
      <c r="Q29" s="120"/>
      <c r="R29" s="123"/>
      <c r="S29" s="123"/>
      <c r="T29" s="123"/>
      <c r="U29" s="123"/>
    </row>
    <row r="30" spans="2:21" ht="15" customHeight="1" x14ac:dyDescent="0.25">
      <c r="B30" s="125"/>
      <c r="C30" s="120"/>
      <c r="D30" s="120"/>
      <c r="E30" s="186" t="s">
        <v>4</v>
      </c>
      <c r="F30" s="186"/>
      <c r="G30" s="186"/>
      <c r="H30" s="186"/>
      <c r="I30" s="186"/>
      <c r="J30" s="186"/>
      <c r="K30" s="186"/>
      <c r="L30" s="198">
        <v>2.5</v>
      </c>
      <c r="M30" s="198"/>
      <c r="N30" s="198"/>
      <c r="O30" s="151"/>
      <c r="P30" s="120"/>
      <c r="Q30" s="120"/>
      <c r="R30" s="123"/>
      <c r="S30" s="123"/>
      <c r="T30" s="123"/>
      <c r="U30" s="123"/>
    </row>
    <row r="31" spans="2:21" ht="15" customHeight="1" x14ac:dyDescent="0.25">
      <c r="B31" s="125"/>
      <c r="C31" s="120"/>
      <c r="D31" s="120"/>
      <c r="E31" s="186" t="s">
        <v>5</v>
      </c>
      <c r="F31" s="186"/>
      <c r="G31" s="186"/>
      <c r="H31" s="186"/>
      <c r="I31" s="186"/>
      <c r="J31" s="186"/>
      <c r="K31" s="186"/>
      <c r="L31" s="198">
        <v>3</v>
      </c>
      <c r="M31" s="198"/>
      <c r="N31" s="198"/>
      <c r="O31" s="151"/>
      <c r="P31" s="120"/>
      <c r="Q31" s="120"/>
      <c r="R31" s="123"/>
      <c r="S31" s="123"/>
      <c r="T31" s="123"/>
      <c r="U31" s="123"/>
    </row>
    <row r="32" spans="2:21" ht="12.95" customHeight="1" x14ac:dyDescent="0.25">
      <c r="B32" s="125"/>
      <c r="C32" s="120"/>
      <c r="D32" s="120"/>
      <c r="E32" s="120"/>
      <c r="F32" s="120"/>
      <c r="G32" s="120"/>
      <c r="H32" s="120"/>
      <c r="I32" s="120"/>
      <c r="J32" s="120"/>
      <c r="K32" s="120"/>
      <c r="L32" s="120"/>
      <c r="M32" s="120"/>
      <c r="N32" s="120"/>
      <c r="O32" s="120"/>
      <c r="P32" s="120"/>
      <c r="Q32" s="120"/>
      <c r="R32" s="123"/>
      <c r="S32" s="123"/>
      <c r="T32" s="123"/>
      <c r="U32" s="123"/>
    </row>
    <row r="33" spans="1:21" s="139" customFormat="1" ht="47.25" customHeight="1" x14ac:dyDescent="0.25">
      <c r="A33" s="138"/>
      <c r="B33" s="191" t="s">
        <v>76</v>
      </c>
      <c r="C33" s="191"/>
      <c r="D33" s="191"/>
      <c r="E33" s="191"/>
      <c r="F33" s="191"/>
      <c r="G33" s="191"/>
      <c r="H33" s="191"/>
      <c r="I33" s="191"/>
      <c r="J33" s="191"/>
      <c r="K33" s="191"/>
      <c r="L33" s="191"/>
      <c r="M33" s="191"/>
      <c r="N33" s="191"/>
      <c r="O33" s="191"/>
      <c r="P33" s="191"/>
      <c r="Q33" s="191"/>
      <c r="R33" s="124"/>
      <c r="S33" s="124"/>
      <c r="T33" s="124"/>
      <c r="U33" s="124"/>
    </row>
    <row r="34" spans="1:21" s="139" customFormat="1" ht="12.95" customHeight="1" x14ac:dyDescent="0.25">
      <c r="A34" s="138"/>
      <c r="B34" s="119"/>
      <c r="C34" s="119"/>
      <c r="D34" s="119"/>
      <c r="E34" s="119"/>
      <c r="F34" s="119"/>
      <c r="G34" s="119"/>
      <c r="H34" s="119"/>
      <c r="I34" s="119"/>
      <c r="J34" s="119"/>
      <c r="K34" s="119"/>
      <c r="L34" s="119"/>
      <c r="M34" s="119"/>
      <c r="N34" s="119"/>
      <c r="O34" s="119"/>
      <c r="P34" s="119"/>
      <c r="Q34" s="119"/>
      <c r="R34" s="124"/>
      <c r="S34" s="124"/>
      <c r="T34" s="124"/>
      <c r="U34" s="124"/>
    </row>
    <row r="35" spans="1:21" s="139" customFormat="1" ht="27.75" customHeight="1" x14ac:dyDescent="0.25">
      <c r="A35" s="138"/>
      <c r="B35" s="192" t="s">
        <v>19</v>
      </c>
      <c r="C35" s="192"/>
      <c r="D35" s="192"/>
      <c r="E35" s="192"/>
      <c r="F35" s="192"/>
      <c r="G35" s="192"/>
      <c r="H35" s="192"/>
      <c r="I35" s="192"/>
      <c r="J35" s="192"/>
      <c r="K35" s="192"/>
      <c r="L35" s="192"/>
      <c r="M35" s="192"/>
      <c r="N35" s="192"/>
      <c r="O35" s="192"/>
      <c r="P35" s="192"/>
      <c r="Q35" s="192"/>
      <c r="R35" s="124"/>
      <c r="S35" s="124"/>
      <c r="T35" s="124"/>
      <c r="U35" s="124"/>
    </row>
    <row r="36" spans="1:21" s="139" customFormat="1" ht="382.5" customHeight="1" x14ac:dyDescent="0.25">
      <c r="A36" s="138"/>
      <c r="B36" s="191" t="s">
        <v>77</v>
      </c>
      <c r="C36" s="191"/>
      <c r="D36" s="191"/>
      <c r="E36" s="191"/>
      <c r="F36" s="191"/>
      <c r="G36" s="191"/>
      <c r="H36" s="191"/>
      <c r="I36" s="191"/>
      <c r="J36" s="191"/>
      <c r="K36" s="191"/>
      <c r="L36" s="191"/>
      <c r="M36" s="191"/>
      <c r="N36" s="191"/>
      <c r="O36" s="191"/>
      <c r="P36" s="191"/>
      <c r="Q36" s="191"/>
      <c r="R36" s="124"/>
      <c r="S36" s="124"/>
      <c r="T36" s="124"/>
      <c r="U36" s="124"/>
    </row>
    <row r="37" spans="1:21" s="139" customFormat="1" ht="12.95" customHeight="1" x14ac:dyDescent="0.25">
      <c r="A37" s="138"/>
      <c r="B37" s="140"/>
      <c r="C37" s="140"/>
      <c r="D37" s="140"/>
      <c r="E37" s="140"/>
      <c r="F37" s="140"/>
      <c r="G37" s="140"/>
      <c r="H37" s="140"/>
      <c r="I37" s="140"/>
      <c r="J37" s="140"/>
      <c r="K37" s="140"/>
      <c r="L37" s="140"/>
      <c r="M37" s="140"/>
      <c r="N37" s="140"/>
      <c r="O37" s="140"/>
      <c r="P37" s="140"/>
      <c r="Q37" s="140"/>
      <c r="R37" s="124"/>
      <c r="S37" s="124"/>
      <c r="T37" s="124"/>
      <c r="U37" s="124"/>
    </row>
    <row r="38" spans="1:21" ht="48" customHeight="1" x14ac:dyDescent="0.25">
      <c r="B38" s="179" t="s">
        <v>6</v>
      </c>
      <c r="C38" s="179"/>
      <c r="D38" s="179"/>
      <c r="E38" s="179"/>
      <c r="F38" s="179"/>
      <c r="G38" s="179"/>
      <c r="H38" s="179"/>
      <c r="I38" s="179"/>
      <c r="J38" s="179"/>
      <c r="K38" s="179"/>
      <c r="L38" s="179"/>
      <c r="M38" s="179"/>
      <c r="N38" s="179"/>
      <c r="O38" s="179"/>
      <c r="P38" s="179"/>
      <c r="Q38" s="179"/>
      <c r="R38" s="123"/>
      <c r="S38" s="123"/>
      <c r="T38" s="123"/>
      <c r="U38" s="123"/>
    </row>
    <row r="39" spans="1:21" ht="52.5" customHeight="1" x14ac:dyDescent="0.25">
      <c r="B39" s="142"/>
      <c r="C39" s="46"/>
      <c r="D39" s="141"/>
      <c r="E39" s="141"/>
      <c r="F39" s="141"/>
      <c r="G39" s="141"/>
      <c r="H39" s="143"/>
      <c r="I39" s="143"/>
      <c r="J39" s="143"/>
      <c r="K39" s="53"/>
      <c r="L39" s="137"/>
      <c r="M39" s="46"/>
      <c r="N39" s="143"/>
      <c r="O39" s="141"/>
      <c r="P39" s="141"/>
      <c r="Q39" s="141"/>
      <c r="R39" s="123"/>
      <c r="S39" s="123"/>
      <c r="T39" s="123"/>
      <c r="U39" s="123"/>
    </row>
    <row r="40" spans="1:21" x14ac:dyDescent="0.25">
      <c r="B40" s="183" t="str">
        <f>IF('Solicitud de Apertura'!D35=0,"{ Nombre del Vendedor }",'Solicitud de Apertura'!D35)</f>
        <v>{ Nombre del Vendedor }</v>
      </c>
      <c r="C40" s="183"/>
      <c r="D40" s="183"/>
      <c r="E40" s="183"/>
      <c r="F40" s="183"/>
      <c r="G40" s="183"/>
      <c r="H40" s="122"/>
      <c r="I40" s="195" t="s">
        <v>85</v>
      </c>
      <c r="J40" s="195"/>
      <c r="K40" s="195"/>
      <c r="L40" s="195"/>
      <c r="M40" s="195"/>
      <c r="N40" s="53"/>
      <c r="O40" s="195" t="s">
        <v>86</v>
      </c>
      <c r="P40" s="195"/>
      <c r="Q40" s="195"/>
      <c r="R40" s="122"/>
      <c r="S40" s="122"/>
      <c r="T40" s="53"/>
      <c r="U40" s="123"/>
    </row>
    <row r="41" spans="1:21" ht="16.5" customHeight="1" x14ac:dyDescent="0.25">
      <c r="B41" s="196" t="str">
        <f>IF(AND('Solicitud de Apertura'!D37="",'Solicitud de Apertura'!I37=""),"{  Puesto del Vendedor }",'Solicitud de Apertura'!D37&amp;" - Tienda "&amp;TEXT('Solicitud de Apertura'!I37,"000"))</f>
        <v>{  Puesto del Vendedor }</v>
      </c>
      <c r="C41" s="196"/>
      <c r="D41" s="196"/>
      <c r="E41" s="196"/>
      <c r="F41" s="196"/>
      <c r="G41" s="196"/>
      <c r="H41" s="124"/>
      <c r="I41" s="194" t="str">
        <f>IF(AND('Solicitud de Apertura'!D7="",'Solicitud de Apertura'!F7=""),"{  DNI del Cliente 1 }",'Solicitud de Apertura'!D7&amp;": "&amp;'Solicitud de Apertura'!F7)</f>
        <v xml:space="preserve">DNI: </v>
      </c>
      <c r="J41" s="194"/>
      <c r="K41" s="194"/>
      <c r="L41" s="194"/>
      <c r="M41" s="194"/>
      <c r="N41" s="53"/>
      <c r="O41" s="194" t="str">
        <f>IF(AND('Solicitud de Apertura'!D25="",'Solicitud de Apertura'!F25=""),"{  DNI del Cliente 2 }",'Solicitud de Apertura'!D25&amp;": "&amp;'Solicitud de Apertura'!F25)</f>
        <v>{  DNI del Cliente 2 }</v>
      </c>
      <c r="P41" s="194"/>
      <c r="Q41" s="194"/>
      <c r="R41" s="123"/>
      <c r="S41" s="123"/>
      <c r="T41" s="53"/>
      <c r="U41" s="123"/>
    </row>
    <row r="42" spans="1:21" x14ac:dyDescent="0.25"/>
    <row r="43" spans="1:21" x14ac:dyDescent="0.25">
      <c r="Q43" s="147" t="s">
        <v>98</v>
      </c>
    </row>
    <row r="44" spans="1:21" x14ac:dyDescent="0.25"/>
    <row r="45" spans="1:21" hidden="1" x14ac:dyDescent="0.25">
      <c r="B45" s="4"/>
    </row>
    <row r="46" spans="1:21" hidden="1" x14ac:dyDescent="0.25">
      <c r="B46" s="4"/>
    </row>
    <row r="47" spans="1:21" hidden="1" x14ac:dyDescent="0.25"/>
    <row r="48" spans="1:21"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sheetData>
  <sheetProtection selectLockedCells="1"/>
  <mergeCells count="40">
    <mergeCell ref="B5:T5"/>
    <mergeCell ref="I41:M41"/>
    <mergeCell ref="O40:Q40"/>
    <mergeCell ref="O41:Q41"/>
    <mergeCell ref="B35:Q35"/>
    <mergeCell ref="B36:Q36"/>
    <mergeCell ref="B41:G41"/>
    <mergeCell ref="B40:G40"/>
    <mergeCell ref="C21:Q21"/>
    <mergeCell ref="O8:Q8"/>
    <mergeCell ref="C9:M9"/>
    <mergeCell ref="B38:Q38"/>
    <mergeCell ref="I40:M40"/>
    <mergeCell ref="B33:Q33"/>
    <mergeCell ref="L31:N31"/>
    <mergeCell ref="E31:K31"/>
    <mergeCell ref="E30:K30"/>
    <mergeCell ref="E29:K29"/>
    <mergeCell ref="L30:N30"/>
    <mergeCell ref="L29:N29"/>
    <mergeCell ref="C14:Q14"/>
    <mergeCell ref="C23:Q23"/>
    <mergeCell ref="C25:Q25"/>
    <mergeCell ref="E19:J19"/>
    <mergeCell ref="C13:Q13"/>
    <mergeCell ref="B4:Q4"/>
    <mergeCell ref="B8:D8"/>
    <mergeCell ref="E27:K27"/>
    <mergeCell ref="E28:K28"/>
    <mergeCell ref="L27:N27"/>
    <mergeCell ref="L28:N28"/>
    <mergeCell ref="O6:P6"/>
    <mergeCell ref="B16:Q16"/>
    <mergeCell ref="C18:Q18"/>
    <mergeCell ref="C22:Q22"/>
    <mergeCell ref="E8:M8"/>
    <mergeCell ref="N9:Q9"/>
    <mergeCell ref="B10:Q10"/>
    <mergeCell ref="B12:Q12"/>
    <mergeCell ref="B15:Q15"/>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L38"/>
  <sheetViews>
    <sheetView showGridLines="0" topLeftCell="A19" zoomScale="115" zoomScaleNormal="115" workbookViewId="0">
      <selection activeCell="C34" sqref="C34"/>
    </sheetView>
  </sheetViews>
  <sheetFormatPr baseColWidth="10" defaultRowHeight="15" x14ac:dyDescent="0.25"/>
  <cols>
    <col min="1" max="1" width="21" customWidth="1"/>
    <col min="2" max="2" width="9" customWidth="1"/>
    <col min="3" max="3" width="14.140625" customWidth="1"/>
    <col min="4" max="4" width="13.85546875" customWidth="1"/>
    <col min="5" max="5" width="18.85546875" customWidth="1"/>
    <col min="6" max="6" width="14.140625" customWidth="1"/>
    <col min="7" max="12" width="11.42578125" customWidth="1"/>
  </cols>
  <sheetData>
    <row r="1" spans="1:12" x14ac:dyDescent="0.25">
      <c r="A1" s="74">
        <f>'Solicitud de Apertura'!D13</f>
        <v>0</v>
      </c>
      <c r="B1" s="52"/>
      <c r="C1" s="70" t="s">
        <v>37</v>
      </c>
      <c r="D1" s="52"/>
      <c r="E1" s="52"/>
      <c r="F1" s="52"/>
      <c r="G1" s="52"/>
      <c r="H1" s="52"/>
      <c r="I1" s="52"/>
      <c r="J1" s="52"/>
      <c r="K1" s="52"/>
      <c r="L1" s="52"/>
    </row>
    <row r="2" spans="1:12" s="52" customFormat="1" x14ac:dyDescent="0.25">
      <c r="A2" s="75" t="str">
        <f>RIGHT($A$1,(10))</f>
        <v>0</v>
      </c>
      <c r="B2" s="76" t="str">
        <f>RIGHT($A$1,(9))</f>
        <v>0</v>
      </c>
      <c r="C2" s="76" t="str">
        <f>RIGHT($A$1,(8))</f>
        <v>0</v>
      </c>
      <c r="D2" s="76" t="str">
        <f>RIGHT($A$1,(7))</f>
        <v>0</v>
      </c>
      <c r="E2" s="76" t="str">
        <f>RIGHT($A$1,(6))</f>
        <v>0</v>
      </c>
      <c r="F2" s="76" t="str">
        <f>RIGHT($A$1,(5))</f>
        <v>0</v>
      </c>
      <c r="G2" s="76" t="str">
        <f>RIGHT($A$1,(4))</f>
        <v>0</v>
      </c>
      <c r="H2" s="76" t="str">
        <f>RIGHT($A$1,(3))</f>
        <v>0</v>
      </c>
      <c r="I2" s="76" t="str">
        <f>RIGHT($A$1,(2))</f>
        <v>0</v>
      </c>
      <c r="J2" s="77" t="str">
        <f>RIGHT($A$1)</f>
        <v>0</v>
      </c>
      <c r="L2"/>
    </row>
    <row r="3" spans="1:12" s="52" customFormat="1" ht="23.25" customHeight="1" x14ac:dyDescent="0.25">
      <c r="A3" s="78">
        <f t="shared" ref="A3:J3" si="0">LEN(A2)</f>
        <v>1</v>
      </c>
      <c r="B3" s="54">
        <f t="shared" si="0"/>
        <v>1</v>
      </c>
      <c r="C3" s="54">
        <f t="shared" si="0"/>
        <v>1</v>
      </c>
      <c r="D3" s="54">
        <f t="shared" si="0"/>
        <v>1</v>
      </c>
      <c r="E3" s="54">
        <f t="shared" si="0"/>
        <v>1</v>
      </c>
      <c r="F3" s="54">
        <f t="shared" si="0"/>
        <v>1</v>
      </c>
      <c r="G3" s="54">
        <f t="shared" si="0"/>
        <v>1</v>
      </c>
      <c r="H3" s="54">
        <f t="shared" si="0"/>
        <v>1</v>
      </c>
      <c r="I3" s="54">
        <f t="shared" si="0"/>
        <v>1</v>
      </c>
      <c r="J3" s="79">
        <f t="shared" si="0"/>
        <v>1</v>
      </c>
      <c r="L3"/>
    </row>
    <row r="4" spans="1:12" x14ac:dyDescent="0.25">
      <c r="A4" s="78" t="b">
        <f>IF(A3=10,TRUE,FALSE)</f>
        <v>0</v>
      </c>
      <c r="B4" s="54" t="b">
        <f>IF(B3=9,TRUE,FALSE)</f>
        <v>0</v>
      </c>
      <c r="C4" s="54" t="b">
        <f>IF(C3=8,TRUE,FALSE)</f>
        <v>0</v>
      </c>
      <c r="D4" s="54" t="b">
        <f>IF(D3=7,TRUE,FALSE)</f>
        <v>0</v>
      </c>
      <c r="E4" s="54" t="b">
        <f>IF(E3=6,TRUE,FALSE)</f>
        <v>0</v>
      </c>
      <c r="F4" s="54" t="b">
        <f>IF(F3=5,TRUE,FALSE)</f>
        <v>0</v>
      </c>
      <c r="G4" s="54" t="b">
        <f>IF(G3=4,TRUE,FALSE)</f>
        <v>0</v>
      </c>
      <c r="H4" s="54" t="b">
        <f>IF(H3=3,TRUE,FALSE)</f>
        <v>0</v>
      </c>
      <c r="I4" s="54" t="b">
        <f>IF(I3=2,TRUE,FALSE)</f>
        <v>0</v>
      </c>
      <c r="J4" s="79" t="b">
        <f>IF(J3=1,TRUE,FALSE)</f>
        <v>1</v>
      </c>
    </row>
    <row r="5" spans="1:12" x14ac:dyDescent="0.25">
      <c r="A5" s="78" t="str">
        <f t="shared" ref="A5:J5" si="1">MID(A2,1,1)</f>
        <v>0</v>
      </c>
      <c r="B5" s="54" t="str">
        <f t="shared" si="1"/>
        <v>0</v>
      </c>
      <c r="C5" s="54" t="str">
        <f t="shared" si="1"/>
        <v>0</v>
      </c>
      <c r="D5" s="54" t="str">
        <f t="shared" si="1"/>
        <v>0</v>
      </c>
      <c r="E5" s="54" t="str">
        <f t="shared" si="1"/>
        <v>0</v>
      </c>
      <c r="F5" s="54" t="str">
        <f t="shared" si="1"/>
        <v>0</v>
      </c>
      <c r="G5" s="54" t="str">
        <f t="shared" si="1"/>
        <v>0</v>
      </c>
      <c r="H5" s="54" t="str">
        <f t="shared" si="1"/>
        <v>0</v>
      </c>
      <c r="I5" s="54" t="str">
        <f t="shared" si="1"/>
        <v>0</v>
      </c>
      <c r="J5" s="79" t="str">
        <f t="shared" si="1"/>
        <v>0</v>
      </c>
    </row>
    <row r="6" spans="1:12" x14ac:dyDescent="0.25">
      <c r="A6" s="78">
        <f t="shared" ref="A6:F6" si="2">IF(A4=TRUE,(VALUE(A5)),0)</f>
        <v>0</v>
      </c>
      <c r="B6" s="54">
        <f t="shared" si="2"/>
        <v>0</v>
      </c>
      <c r="C6" s="54">
        <f t="shared" si="2"/>
        <v>0</v>
      </c>
      <c r="D6" s="54">
        <f t="shared" si="2"/>
        <v>0</v>
      </c>
      <c r="E6" s="54">
        <f t="shared" si="2"/>
        <v>0</v>
      </c>
      <c r="F6" s="54">
        <f t="shared" si="2"/>
        <v>0</v>
      </c>
      <c r="G6" s="54">
        <f>IF(G4=TRUE,(VALUE(G5)),)</f>
        <v>0</v>
      </c>
      <c r="H6" s="54">
        <f>IF(H4=TRUE,(VALUE(H5)),0)</f>
        <v>0</v>
      </c>
      <c r="I6" s="54">
        <f>IF(I4=TRUE,(VALUE(I5)),0)</f>
        <v>0</v>
      </c>
      <c r="J6" s="79">
        <f>IF(J4=TRUE,(VALUE(J5)),0)</f>
        <v>0</v>
      </c>
    </row>
    <row r="7" spans="1:12" x14ac:dyDescent="0.25">
      <c r="A7" s="78"/>
      <c r="B7" s="54"/>
      <c r="C7" s="54"/>
      <c r="D7" s="54"/>
      <c r="E7" s="54"/>
      <c r="F7" s="54"/>
      <c r="G7" s="54"/>
      <c r="H7" s="54"/>
      <c r="I7" s="54"/>
      <c r="J7" s="79"/>
    </row>
    <row r="8" spans="1:12" x14ac:dyDescent="0.25">
      <c r="A8" s="80">
        <f t="shared" ref="A8:J8" si="3">A6</f>
        <v>0</v>
      </c>
      <c r="B8" s="55">
        <f t="shared" si="3"/>
        <v>0</v>
      </c>
      <c r="C8" s="55">
        <f t="shared" si="3"/>
        <v>0</v>
      </c>
      <c r="D8" s="55">
        <f t="shared" si="3"/>
        <v>0</v>
      </c>
      <c r="E8" s="55">
        <f t="shared" si="3"/>
        <v>0</v>
      </c>
      <c r="F8" s="55">
        <f t="shared" si="3"/>
        <v>0</v>
      </c>
      <c r="G8" s="55">
        <f t="shared" si="3"/>
        <v>0</v>
      </c>
      <c r="H8" s="55">
        <f t="shared" si="3"/>
        <v>0</v>
      </c>
      <c r="I8" s="55">
        <f t="shared" si="3"/>
        <v>0</v>
      </c>
      <c r="J8" s="81">
        <f t="shared" si="3"/>
        <v>0</v>
      </c>
      <c r="L8" s="51"/>
    </row>
    <row r="9" spans="1:12" x14ac:dyDescent="0.25">
      <c r="A9" s="78"/>
      <c r="B9" s="54"/>
      <c r="C9" s="54"/>
      <c r="D9" s="54"/>
      <c r="E9" s="54"/>
      <c r="F9" s="54"/>
      <c r="G9" s="54"/>
      <c r="H9" s="54"/>
      <c r="I9" s="54"/>
      <c r="J9" s="79"/>
    </row>
    <row r="10" spans="1:12" s="51" customFormat="1" x14ac:dyDescent="0.25">
      <c r="A10" s="78"/>
      <c r="B10" s="54"/>
      <c r="C10" s="54"/>
      <c r="D10" s="54"/>
      <c r="E10" s="54"/>
      <c r="F10" s="54"/>
      <c r="G10" s="54"/>
      <c r="H10" s="54"/>
      <c r="I10" s="54"/>
      <c r="J10" s="79"/>
      <c r="L10"/>
    </row>
    <row r="11" spans="1:12" x14ac:dyDescent="0.25">
      <c r="A11" s="78"/>
      <c r="B11" s="54"/>
      <c r="C11" s="54"/>
      <c r="D11" s="54"/>
      <c r="E11" s="54"/>
      <c r="F11" s="54"/>
      <c r="G11" s="54"/>
      <c r="H11" s="54"/>
      <c r="I11" s="54"/>
      <c r="J11" s="79"/>
    </row>
    <row r="12" spans="1:12" x14ac:dyDescent="0.25">
      <c r="A12" s="78" t="b">
        <f>IF(A8=1," MIL",IF(A8=2," DOS MIL",IF(A8=3," TRES MIL",IF(A8=4," CUATRO MIL",IF(A8=5," CINCO MIL")))))</f>
        <v>0</v>
      </c>
      <c r="B12" s="54" t="b">
        <f>IF(B8=1," CIENTO",IF(B8=2," DOSCIENTOS ",IF(B8=3," TRESCIENTOS",IF(B8=4," CUATROCIENTOS",IF(B8=5," QUINIENTOS")))))</f>
        <v>0</v>
      </c>
      <c r="C12" s="54" t="b">
        <f>IF(C8=1," DIEZ Y",IF(C8=2," VEINTI",IF(C8=3," TREINTA Y",IF(C8=4," CUARENTA Y",IF(C8=5," CINCUENTA Y")))))</f>
        <v>0</v>
      </c>
      <c r="D12" s="54" t="str">
        <f>IF(C12=" VEINTI",""," ")&amp;IF(D8=0,"MILLONES",IF(D8=1,"UN MILLONES",IF(D8=2,"DOS MILLONES",IF(D8=3,"TRES MILLONES",IF(D8=4,"CUATRO MILLONES",IF(D8=5,"CINCO MILLONES"))))))</f>
        <v xml:space="preserve"> MILLONES</v>
      </c>
      <c r="E12" s="54" t="b">
        <f>IF(E8=1," CIENTO",IF(E8=2," DOSCIENTOS ",IF(E8=3," TRESCIENTOS",IF(E8=4," CUATROCIENTOS",IF(E8=5," QUINIENTOS")))))</f>
        <v>0</v>
      </c>
      <c r="F12" s="54" t="b">
        <f>IF(F8=1," DIEZ Y",IF(F8=2," VEINTI",IF(F8=3," TREINTA Y",IF(F8=4," CUARENTA Y",IF(F8=5," CINCUENTA Y")))))</f>
        <v>0</v>
      </c>
      <c r="G12" s="54" t="str">
        <f>IF(F12=" VEINTI",""," ")&amp;IF(G8=1,"UN MIL",IF(G8=2,"DOS MIL",IF(G8=3,"TRES MIL",IF(G8=4,"CUATRO MIL",IF(G8=5,"CINCO MIL")))))</f>
        <v xml:space="preserve"> FALSO</v>
      </c>
      <c r="H12" s="54" t="b">
        <f>IF(H8=1," CIENTO",IF(H8=2," DOSCIENTOS ",IF(H8=3," TRESCIENTOS",IF(H8=4," CUATROCIENTOS",IF(H8=5," QUINIENTOS")))))</f>
        <v>0</v>
      </c>
      <c r="I12" s="54" t="b">
        <f>IF(I8=1," DIEZ Y",IF(I8=2," VEINTI",IF(I8=3," TREINTA Y",IF(I8=4," CUARENTA Y",IF(I8=5," CINCUENTA Y")))))</f>
        <v>0</v>
      </c>
      <c r="J12" s="79" t="str">
        <f>IF(I12=" VEINTI",""," ")&amp;IF(J8=1,"UN",IF(J8=2,"DOS",IF(J8=3,"TRES",IF(J8=4,"CUATRO",IF(J8=5,"CINCO")))))</f>
        <v xml:space="preserve"> FALSO</v>
      </c>
    </row>
    <row r="13" spans="1:12" x14ac:dyDescent="0.25">
      <c r="A13" s="78" t="b">
        <f>IF(A8=6," SEIS MIL",IF(A8=7," SIETE MIL",IF(A8=8," OCHO MIL",IF(A8=9," NUEVE MIL"))))</f>
        <v>0</v>
      </c>
      <c r="B13" s="54" t="b">
        <f>IF(B8=6," SEISCIENTOS",IF(B8=7," SETECIENTOS",IF(B8=8," OCHOCIENTOS",IF(B8=9," NOVECIENTOS"))))</f>
        <v>0</v>
      </c>
      <c r="C13" s="54" t="b">
        <f>IF(C8=6," SESENTA Y",IF(C8=7," SETENTA Y",IF(C8=8," OCHENTA Y",IF(C8=9," NOVENTA Y"))))</f>
        <v>0</v>
      </c>
      <c r="D13" s="54" t="str">
        <f>IF(C12=" VEINTI",""," ")&amp;IF(D8=6,"SEIS MILLONES",IF(D8=7,"SIETE MILLONES",IF(D8=8,"OCHO MILLONES",IF(D8=9,"NUEVE MILLONES"))))</f>
        <v xml:space="preserve"> FALSO</v>
      </c>
      <c r="E13" s="54" t="b">
        <f>IF(E8=6," SEISCIENTOS",IF(E8=7," SETECIENTOS",IF(E8=8," OCHOCIENTOS",IF(E8=9," NOVECIENTOS"))))</f>
        <v>0</v>
      </c>
      <c r="F13" s="54" t="b">
        <f>IF(F8=6," SESENTA Y",IF(F8=7," SETENTA Y",IF(F8=8," OCHENTA Y",IF(F8=9," NOVENTA Y"))))</f>
        <v>0</v>
      </c>
      <c r="G13" s="54" t="str">
        <f>IF(F12=" VEINTI",""," ")&amp;IF(G8=6,"SEIS MIL",IF(G8=7,"SIETE MIL",IF(G8=8,"OCHO MIL",IF(G8=9,"NUEVE MIL"))))</f>
        <v xml:space="preserve"> FALSO</v>
      </c>
      <c r="H13" s="54" t="b">
        <f>IF(H8=6," SEISCIENTOS",IF(H8=7," SETECIENTOS",IF(H8=8," OCHOCIENTOS",IF(H8=9," NOVECIENTOS"))))</f>
        <v>0</v>
      </c>
      <c r="I13" s="54" t="b">
        <f>IF(I8=6," SESENTA Y",IF(I8=7," SETENTA Y",IF(I8=8," OCHENTA Y",IF(I8=9," NOVENTA Y"))))</f>
        <v>0</v>
      </c>
      <c r="J13" s="79" t="str">
        <f>IF(I12=" VEINTI",""," ")&amp;IF(J8=6,"SEIS",IF(J8=7,"SIETE",IF(J8=8,"OCHO",IF(J8=9,"NUEVE"))))</f>
        <v xml:space="preserve"> FALSO</v>
      </c>
    </row>
    <row r="14" spans="1:12" x14ac:dyDescent="0.25">
      <c r="A14" s="78" t="b">
        <f>IF(OR(A12=FALSE,RIGHT(A12,5)="FALSO"),A13,A12)</f>
        <v>0</v>
      </c>
      <c r="B14" s="54" t="b">
        <f t="shared" ref="B14:I14" si="4">IF(OR(B12=FALSE,RIGHT(B12,5)="FALSO"),B13,B12)</f>
        <v>0</v>
      </c>
      <c r="C14" s="54" t="b">
        <f t="shared" si="4"/>
        <v>0</v>
      </c>
      <c r="D14" s="54" t="str">
        <f>IF(OR(D12=FALSE,RIGHT(D12,5)="FALSO"),D13,D12)</f>
        <v xml:space="preserve"> MILLONES</v>
      </c>
      <c r="E14" s="54" t="b">
        <f t="shared" si="4"/>
        <v>0</v>
      </c>
      <c r="F14" s="54" t="b">
        <f t="shared" si="4"/>
        <v>0</v>
      </c>
      <c r="G14" s="54" t="str">
        <f>IF(OR(G12=FALSE,RIGHT(G12,5)="FALSO"),G13,G12)</f>
        <v xml:space="preserve"> FALSO</v>
      </c>
      <c r="H14" s="54" t="b">
        <f t="shared" si="4"/>
        <v>0</v>
      </c>
      <c r="I14" s="54" t="b">
        <f t="shared" si="4"/>
        <v>0</v>
      </c>
      <c r="J14" s="79" t="str">
        <f>IF(OR(J12=FALSE,RIGHT(J12,5)="FALSO"),J13,J12)</f>
        <v xml:space="preserve"> FALSO</v>
      </c>
    </row>
    <row r="15" spans="1:12" x14ac:dyDescent="0.25">
      <c r="A15" s="78" t="str">
        <f>CONCATENATE(A8,B8,C8,D8,)</f>
        <v>0000</v>
      </c>
      <c r="B15" s="54" t="str">
        <f>CONCATENATE(B8,C8,D8)</f>
        <v>000</v>
      </c>
      <c r="C15" s="54" t="str">
        <f>CONCATENATE(C8,D8)</f>
        <v>00</v>
      </c>
      <c r="D15" s="54" t="str">
        <f>CONCATENATE(C8,D8)</f>
        <v>00</v>
      </c>
      <c r="E15" s="54" t="str">
        <f>CONCATENATE(E8,F8,G8)</f>
        <v>000</v>
      </c>
      <c r="F15" s="54" t="str">
        <f>CONCATENATE(F8,G8)</f>
        <v>00</v>
      </c>
      <c r="G15" s="54" t="str">
        <f>CONCATENATE(F8,G8)</f>
        <v>00</v>
      </c>
      <c r="H15" s="54" t="str">
        <f>CONCATENATE(H8,I8,J8)</f>
        <v>000</v>
      </c>
      <c r="I15" s="54" t="str">
        <f>CONCATENATE(I8,J8)</f>
        <v>00</v>
      </c>
      <c r="J15" s="79" t="str">
        <f>CONCATENATE(I8,J8)</f>
        <v>00</v>
      </c>
    </row>
    <row r="16" spans="1:12" x14ac:dyDescent="0.25">
      <c r="A16" s="78" t="str">
        <f>IF(A8=0,"",IF(A15="00000","",IF(A15="10000","",IF(A15="11000","",IF(A15="12000","",IF(A15="13000","",IF(A15="14000","",IF(A15="15000",""))))))))</f>
        <v/>
      </c>
      <c r="B16" s="54" t="str">
        <f>IF(B8=0,"",IF(B15="000","",IF(B15="100"," CIEN MILLONES" )))</f>
        <v/>
      </c>
      <c r="C16" s="54" t="str">
        <f>IF(C8=0,"",IF(C15="00","",IF(C15="10"," DIEZ MILLONES",IF(C15="11"," ONCE MILLONES",IF(C15="12"," DOCE MILLONES",IF(C15="13"," TRECE MILLONES",IF(C15="14"," CATORCE MILLONES",IF(C15="15"," QUINCE MILLONES",IF(C15="16"," DIECISEIS MILLONES",IF(C15="17"," DIECISIETE MILLONES",IF(C15="18"," DIECIOCHO MILLONES",IF(C15="19"," DIECINUEVE MILLONES"))))))))))))</f>
        <v/>
      </c>
      <c r="D16" s="54" t="str">
        <f>IF(D8=0,"",IF(D15="00","",IF(D15="10","",IF(D15="11","",IF(D15="12","",IF(D15="13","",IF(D15="14","",IF(D15="15","",IF(D15="16","",IF(D15="17","",IF(D15="18","",IF(D15="19",""))))))))))))</f>
        <v/>
      </c>
      <c r="E16" s="54" t="str">
        <f>IF(E8=0,"",IF(E15="000","",IF(E15="100"," CIEN MIL " )))</f>
        <v/>
      </c>
      <c r="F16" s="54" t="str">
        <f>IF(F8=0,"",IF(F15="00","",IF(F15="10"," DIEZ MIL ",IF(F15="11"," ONCE MIL ",IF(F15="12"," DOCE MIL ",IF(F15="13"," TRECE MIL ",IF(F15="14"," CATORCE MIL ",IF(F15="15"," QUINCE MIL ",IF(F15="16"," DIECISEIS MIL ",IF(F15="17"," DIECISIETE MIL ",IF(F15="18"," DIECIOCHO MIL",IF(F15="19"," DIECINUEVE MIL "))))))))))))</f>
        <v/>
      </c>
      <c r="G16" s="54" t="str">
        <f>IF(G8=0,"",IF(G15="00","",IF(G15="10","",IF(G15="11","",IF(G15="12","",IF(G15="13","",IF(G15="14","",IF(G15="15","",IF(G15="16","",IF(G15="17","",IF(G15="18","",IF(G15="19",""))))))))))))</f>
        <v/>
      </c>
      <c r="H16" s="54" t="str">
        <f>IF(H8=0,"",IF(H15="000","",IF(H15="100"," CIEN" )))</f>
        <v/>
      </c>
      <c r="I16" s="54" t="str">
        <f>IF(I8=0,"",IF(I15="00","",IF(I15="10"," DIEZ",IF(I15="11"," ONCE",IF(I15="12"," DOCE",IF(I15="13"," TRECE",IF(I15="14"," CATORCE",IF(I15="15"," QUINCE",IF(I15="16"," DIECISEIS",IF(I15="17"," DIECISIETE",IF(I15="18"," DIECIOCHO",IF(I15="19"," DIECINUEVE"))))))))))))</f>
        <v/>
      </c>
      <c r="J16" s="79" t="str">
        <f>IF(J8=0,"",IF(J15="00","",IF(J15="10","",IF(J15="11","",IF(J15="12","",IF(J15="13","",IF(J15="14","",IF(J15="15","",IF(J15="16","",IF(J15="17","",IF(J15="18","",IF(J15="19",""))))))))))))</f>
        <v/>
      </c>
    </row>
    <row r="17" spans="1:12" x14ac:dyDescent="0.25">
      <c r="A17" s="78" t="str">
        <f>IF(A16=FALSE,A14,A16)</f>
        <v/>
      </c>
      <c r="B17" s="54" t="b">
        <f>IF(B15="200"," DOSCIENTOS MILLONES",IF(B15="300"," TRESCIENTOS MILLONES",IF(B15="400"," CUATROCIENTOS MILLONES",IF(B15="500"," QUINIENTOS MILLONES",IF(B15="600"," SEISCIENTOS MILLONES",IF(B15="700"," SETECIENTOS MILLONES",IF(B15="800"," OCHOCIENTOS MILLONES",IF(B15="900"," NOVECIENTOS MILLONES"))))))))</f>
        <v>0</v>
      </c>
      <c r="C17" s="54" t="b">
        <f>IF(C15="20"," VEINTE",IF(C15="30"," TREINTA",IF(C15="40"," CUARENTA",IF(C15="50"," CINCUENTA",IF(C15="60"," SESENTA",IF(C15="70"," SETENTA",IF(C15="80"," OCHENTA",IF(C15="90"," NOVENTA"))))))))</f>
        <v>0</v>
      </c>
      <c r="D17" s="54" t="str">
        <f>IF(D16=FALSE,D14,D16)</f>
        <v/>
      </c>
      <c r="E17" s="54" t="b">
        <f>IF(E15="200"," DOSCIENTOS MIL",IF(E15="300"," TRESCIENTOS MIL",IF(E15="400"," CUATROCIENTOS MIL",IF(E15="500"," QUINIENTOS MIL",IF(E15="600"," SEISCIENTOS MIL",IF(E15="700"," SETECIENTOS MIL",IF(E15="800"," OCHOCIENTOS MIL",IF(E15="900"," NOVECIENTOS MIL"))))))))</f>
        <v>0</v>
      </c>
      <c r="F17" s="54" t="b">
        <f>IF(F15="20"," VEINTE MIL ",IF(F15="30"," TREINTA MIL ",IF(F15="40"," CUARENTA MIL ",IF(F15="50"," CINCUENTA MIL ",IF(F15="60"," SESENTA MIL ",IF(F15="70"," SETENTA MIL ",IF(F15="80"," OCHENTA MIL ",IF(F15="90"," NOVENTA MIL "))))))))</f>
        <v>0</v>
      </c>
      <c r="G17" s="54" t="str">
        <f>IF(G16=FALSE,G14,G16)</f>
        <v/>
      </c>
      <c r="H17" s="54" t="str">
        <f>IF(H16=FALSE,H14,H16)</f>
        <v/>
      </c>
      <c r="I17" s="54" t="b">
        <f>IF(I15="20"," VEINTE",IF(I15="30"," TREINTA",IF(I15="40"," CUARENTA",IF(I15="50"," CINCUENTA",IF(I15="60"," SESENTA",IF(I15="70"," SETENTA",IF(I15="80"," OCHENTA",IF(I15="90"," NOVENTA"))))))))</f>
        <v>0</v>
      </c>
      <c r="J17" s="79" t="str">
        <f>IF(J16=FALSE,J14,J16)</f>
        <v/>
      </c>
    </row>
    <row r="18" spans="1:12" x14ac:dyDescent="0.25">
      <c r="A18" s="78"/>
      <c r="B18" s="54" t="str">
        <f>IF(B16=FALSE,B14,B16)</f>
        <v/>
      </c>
      <c r="C18" s="54" t="str">
        <f>IF(C16=FALSE,C14,C16)</f>
        <v/>
      </c>
      <c r="D18" s="54" t="str">
        <f>CONCATENATE(A8,B8,C8,D8)</f>
        <v>0000</v>
      </c>
      <c r="E18" s="54" t="str">
        <f>IF(E16=FALSE,E14,E16)</f>
        <v/>
      </c>
      <c r="F18" s="54" t="str">
        <f>IF(F16=FALSE,F14,F16)</f>
        <v/>
      </c>
      <c r="G18" s="54"/>
      <c r="H18" s="54"/>
      <c r="I18" s="54" t="str">
        <f>IF(I16=FALSE,I14,I16)</f>
        <v/>
      </c>
      <c r="J18" s="79"/>
    </row>
    <row r="19" spans="1:12" x14ac:dyDescent="0.25">
      <c r="A19" s="78"/>
      <c r="B19" s="54" t="str">
        <f>IF(B17=FALSE,B18,B17)</f>
        <v/>
      </c>
      <c r="C19" s="54" t="str">
        <f>IF(C17=FALSE,C18,C17)</f>
        <v/>
      </c>
      <c r="D19" s="54" t="str">
        <f>IF(D18="0001","UN MILLÓN",D17)</f>
        <v/>
      </c>
      <c r="E19" s="54" t="str">
        <f>IF(E17=FALSE,E18,E17)</f>
        <v/>
      </c>
      <c r="F19" s="54" t="str">
        <f>IF(F17=FALSE,F18,F17)</f>
        <v/>
      </c>
      <c r="G19" s="54"/>
      <c r="H19" s="54"/>
      <c r="I19" s="54" t="str">
        <f>IF(I17=FALSE,I18,I17)</f>
        <v/>
      </c>
      <c r="J19" s="79"/>
    </row>
    <row r="20" spans="1:12" x14ac:dyDescent="0.25">
      <c r="A20" s="78"/>
      <c r="B20" s="54"/>
      <c r="C20" s="54"/>
      <c r="D20" s="54"/>
      <c r="E20" s="54"/>
      <c r="F20" s="54"/>
      <c r="G20" s="54"/>
      <c r="H20" s="54"/>
      <c r="I20" s="54"/>
      <c r="J20" s="79"/>
    </row>
    <row r="21" spans="1:12" x14ac:dyDescent="0.25">
      <c r="A21" s="82" t="str">
        <f>A17</f>
        <v/>
      </c>
      <c r="B21" s="83" t="str">
        <f>B19</f>
        <v/>
      </c>
      <c r="C21" s="83" t="str">
        <f>C19</f>
        <v/>
      </c>
      <c r="D21" s="83" t="str">
        <f>D19</f>
        <v/>
      </c>
      <c r="E21" s="83" t="str">
        <f>E19</f>
        <v/>
      </c>
      <c r="F21" s="83" t="str">
        <f>F19</f>
        <v/>
      </c>
      <c r="G21" s="83" t="str">
        <f>G17</f>
        <v/>
      </c>
      <c r="H21" s="83" t="str">
        <f>H17</f>
        <v/>
      </c>
      <c r="I21" s="83" t="str">
        <f>I19</f>
        <v/>
      </c>
      <c r="J21" s="84" t="str">
        <f>J17</f>
        <v/>
      </c>
    </row>
    <row r="22" spans="1:12" x14ac:dyDescent="0.25">
      <c r="B22" s="71"/>
      <c r="C22" s="71"/>
      <c r="D22" s="71"/>
      <c r="E22" s="71"/>
      <c r="F22" s="71"/>
    </row>
    <row r="23" spans="1:12" x14ac:dyDescent="0.25">
      <c r="A23" s="71" t="s">
        <v>36</v>
      </c>
      <c r="B23" s="72" t="s">
        <v>35</v>
      </c>
      <c r="C23" s="71"/>
      <c r="D23" s="71"/>
      <c r="E23" s="73">
        <f>'Solicitud de Apertura'!D13</f>
        <v>0</v>
      </c>
      <c r="F23" s="71" t="str">
        <f>C25</f>
        <v/>
      </c>
    </row>
    <row r="24" spans="1:12" x14ac:dyDescent="0.25">
      <c r="A24" s="71"/>
      <c r="B24" s="71"/>
      <c r="C24" s="71"/>
      <c r="D24" s="71"/>
      <c r="E24" s="71"/>
      <c r="F24" s="71"/>
    </row>
    <row r="25" spans="1:12" x14ac:dyDescent="0.25">
      <c r="A25" s="89" t="s">
        <v>34</v>
      </c>
      <c r="B25" s="85"/>
      <c r="C25" s="86" t="str">
        <f>TRIM(LOWER(CONCATENATE(A21,B21,C21,D21,E21,F21,G21,H21,I21,J21)))</f>
        <v/>
      </c>
      <c r="D25" s="87">
        <f>LEN(C25)</f>
        <v>0</v>
      </c>
      <c r="E25" s="87" t="str">
        <f>"("&amp;TRIM(LOWER(CONCATENATE(A21,B21,C21,D21,E21,F21,G21,H21,I21,J21)))&amp;" y 00/100 soles)"</f>
        <v>( y 00/100 soles)</v>
      </c>
      <c r="F25" s="87">
        <f>LEN(E25)</f>
        <v>17</v>
      </c>
      <c r="G25" s="56"/>
      <c r="H25" s="56"/>
      <c r="I25" s="56"/>
      <c r="J25" s="56"/>
      <c r="K25" s="56"/>
      <c r="L25" s="56"/>
    </row>
    <row r="26" spans="1:12" x14ac:dyDescent="0.25">
      <c r="A26" s="85"/>
      <c r="B26" s="87"/>
      <c r="C26" s="87"/>
      <c r="D26" s="87"/>
      <c r="E26" s="87"/>
      <c r="F26" s="87"/>
      <c r="G26" s="56"/>
      <c r="H26" s="56"/>
      <c r="I26" s="56"/>
      <c r="J26" s="56"/>
      <c r="K26" s="56"/>
      <c r="L26" s="56"/>
    </row>
    <row r="27" spans="1:12" s="53" customFormat="1" x14ac:dyDescent="0.25">
      <c r="A27" s="90" t="s">
        <v>49</v>
      </c>
      <c r="B27" s="88"/>
      <c r="C27" s="88"/>
      <c r="D27" s="88"/>
      <c r="E27" s="88"/>
      <c r="F27" s="88"/>
      <c r="G27" s="57"/>
      <c r="H27" s="57"/>
      <c r="I27" s="57"/>
      <c r="J27" s="57"/>
      <c r="K27" s="57"/>
      <c r="L27" s="57"/>
    </row>
    <row r="28" spans="1:12" s="53" customFormat="1" x14ac:dyDescent="0.25">
      <c r="A28" s="94" t="s">
        <v>60</v>
      </c>
      <c r="B28" s="60" t="s">
        <v>51</v>
      </c>
      <c r="C28" s="92" t="s">
        <v>41</v>
      </c>
      <c r="D28" s="62" t="str">
        <f>IF('Solicitud de Apertura'!D13=0,"{  monto  }",'Solicitud de Apertura'!D13)</f>
        <v>{  monto  }</v>
      </c>
      <c r="E28" s="92" t="s">
        <v>38</v>
      </c>
      <c r="F28" s="57" t="str">
        <f>IF(D25=0,"{         monto en letras         }",E25)</f>
        <v>{         monto en letras         }</v>
      </c>
      <c r="G28" s="64" t="str">
        <f>RIGHT(TEXT(D28,"000,000,000.00"),LEN(D28)+IF(LEN(D28)&lt;=6,4,IF(LEN(D28)&lt;=8,5,6)))</f>
        <v>{  monto  }</v>
      </c>
      <c r="H28" s="92" t="s">
        <v>75</v>
      </c>
      <c r="I28" s="57" t="str">
        <f>IF(OR('Solicitud de Apertura'!D9="",'Solicitud de Apertura'!E9=""),"{ N° de cuenta }",'Solicitud de Apertura'!D9&amp;'Solicitud de Apertura'!E9&amp;'Solicitud de Apertura'!F9)</f>
        <v>{ N° de cuenta }</v>
      </c>
      <c r="J28" s="92" t="s">
        <v>44</v>
      </c>
      <c r="K28" s="57"/>
      <c r="L28" s="57"/>
    </row>
    <row r="29" spans="1:12" s="53" customFormat="1" ht="39.75" customHeight="1" x14ac:dyDescent="0.25">
      <c r="B29" s="60" t="s">
        <v>52</v>
      </c>
      <c r="C29" s="197" t="str">
        <f>C28&amp;" "&amp;G28&amp;" "&amp;E28&amp;" "&amp;F28&amp;" "&amp;H28&amp;" "&amp;I28&amp;" "&amp;J28</f>
        <v>el monto de {  monto  } soles (S/) {         monto en letras         } de su cuenta N° { N° de cuenta } moneda soles (S/) al depósito a plazo fijo que Interbank abrirá a su nombre dentro de los tres (3) días útiles siguientes.</v>
      </c>
      <c r="D29" s="197"/>
      <c r="E29" s="197"/>
      <c r="F29" s="197"/>
      <c r="G29" s="197"/>
      <c r="H29" s="197"/>
      <c r="I29" s="197"/>
      <c r="J29" s="197"/>
      <c r="K29" s="197"/>
      <c r="L29" s="197"/>
    </row>
    <row r="30" spans="1:12" s="53" customFormat="1" ht="36.75" customHeight="1" x14ac:dyDescent="0.25">
      <c r="B30" s="60" t="s">
        <v>53</v>
      </c>
      <c r="C30" s="93" t="s">
        <v>43</v>
      </c>
      <c r="D30" s="59" t="str">
        <f>IF('Solicitud de Apertura'!D41="","{   TREA del Plazo   }",'Solicitud de Apertura'!D41)</f>
        <v>{   TREA del Plazo   }</v>
      </c>
      <c r="E30" s="92" t="s">
        <v>56</v>
      </c>
      <c r="F30" s="63">
        <f>IFERROR(ROUND('Solicitud de Apertura'!D43,2),"{   Intereses acumulados   }")</f>
        <v>0</v>
      </c>
      <c r="G30" s="91" t="str">
        <f>IFERROR(TRUNC(F30,0)&amp;"."&amp;TEXT(ROUND((F30-TRUNC(F30,0))*100,0),"00"),"{   Intereses acumulados   }")</f>
        <v>0.00</v>
      </c>
      <c r="H30" s="93" t="s">
        <v>58</v>
      </c>
      <c r="I30" s="93" t="s">
        <v>45</v>
      </c>
      <c r="J30" s="58" t="str">
        <f>IF('Solicitud de Apertura'!D15=0,"{   Años del plazo   }",'Solicitud de Apertura'!D15)</f>
        <v>{   Años del plazo   }</v>
      </c>
      <c r="K30" s="58" t="str">
        <f>"año"&amp;IF(J30=1,"","s")</f>
        <v>años</v>
      </c>
      <c r="L30" s="58" t="s">
        <v>72</v>
      </c>
    </row>
    <row r="31" spans="1:12" s="53" customFormat="1" ht="39.75" customHeight="1" x14ac:dyDescent="0.25">
      <c r="B31" s="60" t="s">
        <v>54</v>
      </c>
      <c r="C31" s="197" t="str">
        <f>C30&amp;" "&amp;TEXT(D30,"0.00%")&amp;E30&amp;" "&amp;G30&amp;" "&amp;H30&amp;" "&amp;I30&amp;" "&amp;J30&amp;" "&amp;K30&amp;L30</f>
        <v>El depósito a plazo pagará una Tasa de Rendimiento Efectiva anual de {   TREA del Plazo   }, equivalente aproximadamente a 0.00 soles (S/) por concepto de interés total sobre el importe disponible, a un plazo de {   Años del plazo   } años, contados desde la fecha que se hace efectivo el depósito a plazo, bajo los términos del contrato suscrito entre el Cliente e Interbank. El cálculo de interés corresponden al Depósito a Plazo Jubilación. La presente cartilla no es negociable.</v>
      </c>
      <c r="D31" s="197"/>
      <c r="E31" s="197"/>
      <c r="F31" s="197"/>
      <c r="G31" s="197"/>
      <c r="H31" s="197"/>
      <c r="I31" s="197"/>
      <c r="J31" s="197"/>
      <c r="K31" s="197"/>
      <c r="L31" s="197"/>
    </row>
    <row r="32" spans="1:12" s="53" customFormat="1" x14ac:dyDescent="0.25">
      <c r="B32" s="60" t="s">
        <v>55</v>
      </c>
      <c r="C32" s="57" t="str">
        <f>C29&amp;" "&amp;C31</f>
        <v>el monto de {  monto  } soles (S/) {         monto en letras         } de su cuenta N° { N° de cuenta } moneda soles (S/) al depósito a plazo fijo que Interbank abrirá a su nombre dentro de los tres (3) días útiles siguientes. El depósito a plazo pagará una Tasa de Rendimiento Efectiva anual de {   TREA del Plazo   }, equivalente aproximadamente a 0.00 soles (S/) por concepto de interés total sobre el importe disponible, a un plazo de {   Años del plazo   } años, contados desde la fecha que se hace efectivo el depósito a plazo, bajo los términos del contrato suscrito entre el Cliente e Interbank. El cálculo de interés corresponden al Depósito a Plazo Jubilación. La presente cartilla no es negociable.</v>
      </c>
      <c r="D32" s="57"/>
      <c r="E32" s="57"/>
      <c r="F32" s="57"/>
      <c r="G32" s="57"/>
      <c r="H32" s="57"/>
      <c r="I32" s="57"/>
      <c r="J32" s="57"/>
      <c r="K32" s="57"/>
      <c r="L32" s="57"/>
    </row>
    <row r="33" spans="2:12" s="53" customFormat="1" x14ac:dyDescent="0.25">
      <c r="B33" s="60"/>
      <c r="C33" s="57"/>
      <c r="D33" s="57"/>
      <c r="E33" s="57"/>
      <c r="F33" s="57"/>
      <c r="G33" s="57"/>
      <c r="H33" s="57"/>
      <c r="I33" s="57"/>
      <c r="J33" s="57"/>
      <c r="K33" s="57"/>
      <c r="L33" s="57"/>
    </row>
    <row r="34" spans="2:12" s="53" customFormat="1" x14ac:dyDescent="0.25">
      <c r="B34" s="60" t="s">
        <v>48</v>
      </c>
      <c r="C34" s="92" t="str">
        <f>"Asimismo, el cliente acepta el envío del número de cuenta, así como la confirmación de la fecha de inicio y vencimiento de su depósito a plazo "&amp;IF('Solicitud de Apertura'!D17="","a la siguiente dirección:","al siguiente correo electrónico: "&amp;'Solicitud de Apertura'!D17)</f>
        <v>Asimismo, el cliente acepta el envío del número de cuenta, así como la confirmación de la fecha de inicio y vencimiento de su depósito a plazo a la siguiente dirección:</v>
      </c>
      <c r="D34" s="57"/>
      <c r="E34" s="57"/>
      <c r="F34" s="57"/>
      <c r="G34" s="57"/>
      <c r="H34" s="57"/>
      <c r="I34" s="57"/>
      <c r="J34" s="57"/>
      <c r="K34" s="57"/>
      <c r="L34" s="57"/>
    </row>
    <row r="35" spans="2:12" s="53" customFormat="1" x14ac:dyDescent="0.25">
      <c r="B35" s="60" t="s">
        <v>15</v>
      </c>
      <c r="C35" s="57" t="str">
        <f>IF('Solicitud de Apertura'!D19="",IF('Solicitud de Apertura'!D17="","{   Dirección del cliente   }",""),IF('Solicitud de Apertura'!D17="",'Solicitud de Apertura'!D19,""))</f>
        <v>{   Dirección del cliente   }</v>
      </c>
      <c r="D35" s="57"/>
      <c r="E35" s="57"/>
      <c r="F35" s="57"/>
      <c r="G35" s="57"/>
      <c r="H35" s="57"/>
      <c r="I35" s="57"/>
      <c r="J35" s="57"/>
      <c r="K35" s="57"/>
      <c r="L35" s="57"/>
    </row>
    <row r="36" spans="2:12" s="53" customFormat="1" x14ac:dyDescent="0.25">
      <c r="B36" s="60" t="s">
        <v>42</v>
      </c>
      <c r="C36" s="57" t="str">
        <f>C34&amp;" "&amp;C35</f>
        <v>Asimismo, el cliente acepta el envío del número de cuenta, así como la confirmación de la fecha de inicio y vencimiento de su depósito a plazo a la siguiente dirección: {   Dirección del cliente   }</v>
      </c>
      <c r="D36" s="57"/>
      <c r="E36" s="57"/>
      <c r="F36" s="57"/>
      <c r="G36" s="57"/>
      <c r="H36" s="57"/>
      <c r="I36" s="57"/>
      <c r="J36" s="57"/>
      <c r="K36" s="57"/>
      <c r="L36" s="57"/>
    </row>
    <row r="37" spans="2:12" s="53" customFormat="1" x14ac:dyDescent="0.25">
      <c r="B37" s="57"/>
      <c r="C37" s="57"/>
      <c r="D37" s="57"/>
      <c r="E37" s="57"/>
      <c r="F37" s="57"/>
      <c r="G37" s="57"/>
      <c r="H37" s="57"/>
      <c r="I37" s="57"/>
      <c r="J37" s="57"/>
      <c r="K37" s="57"/>
      <c r="L37" s="57"/>
    </row>
    <row r="38" spans="2:12" s="53" customFormat="1" x14ac:dyDescent="0.25">
      <c r="B38" s="57"/>
      <c r="C38" s="57"/>
      <c r="D38" s="57"/>
      <c r="E38" s="57"/>
      <c r="F38" s="57"/>
      <c r="G38" s="57"/>
      <c r="H38" s="57"/>
      <c r="I38" s="57"/>
      <c r="J38" s="57"/>
      <c r="K38" s="57"/>
      <c r="L38" s="57"/>
    </row>
  </sheetData>
  <mergeCells count="2">
    <mergeCell ref="C29:L29"/>
    <mergeCell ref="C31:L31"/>
  </mergeCells>
  <hyperlinks>
    <hyperlink ref="B23" r:id="rId1"/>
  </hyperlinks>
  <pageMargins left="0.7" right="0.7" top="0.75" bottom="0.75" header="0.3" footer="0.3"/>
  <pageSetup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showGridLines="0" topLeftCell="A19" zoomScale="115" zoomScaleNormal="115" workbookViewId="0">
      <selection activeCell="G43" sqref="G43"/>
    </sheetView>
  </sheetViews>
  <sheetFormatPr baseColWidth="10" defaultRowHeight="15" x14ac:dyDescent="0.25"/>
  <cols>
    <col min="1" max="1" width="21" customWidth="1"/>
    <col min="2" max="2" width="9" customWidth="1"/>
    <col min="3" max="3" width="14.140625" customWidth="1"/>
    <col min="4" max="4" width="13.85546875" customWidth="1"/>
    <col min="5" max="5" width="18.85546875" customWidth="1"/>
    <col min="6" max="6" width="14.140625" customWidth="1"/>
    <col min="7" max="12" width="11.42578125" customWidth="1"/>
  </cols>
  <sheetData>
    <row r="1" spans="1:12" x14ac:dyDescent="0.25">
      <c r="A1" s="74">
        <f>'Solicitud de Apertura'!D13</f>
        <v>0</v>
      </c>
      <c r="B1" s="52"/>
      <c r="C1" s="70" t="s">
        <v>37</v>
      </c>
      <c r="D1" s="52"/>
      <c r="E1" s="52"/>
      <c r="F1" s="52"/>
      <c r="G1" s="52"/>
      <c r="H1" s="52"/>
      <c r="I1" s="52"/>
      <c r="J1" s="52"/>
      <c r="K1" s="52"/>
      <c r="L1" s="52"/>
    </row>
    <row r="2" spans="1:12" s="52" customFormat="1" x14ac:dyDescent="0.25">
      <c r="A2" s="75" t="str">
        <f>RIGHT($A$1,(10))</f>
        <v>0</v>
      </c>
      <c r="B2" s="76" t="str">
        <f>RIGHT($A$1,(9))</f>
        <v>0</v>
      </c>
      <c r="C2" s="76" t="str">
        <f>RIGHT($A$1,(8))</f>
        <v>0</v>
      </c>
      <c r="D2" s="76" t="str">
        <f>RIGHT($A$1,(7))</f>
        <v>0</v>
      </c>
      <c r="E2" s="76" t="str">
        <f>RIGHT($A$1,(6))</f>
        <v>0</v>
      </c>
      <c r="F2" s="76" t="str">
        <f>RIGHT($A$1,(5))</f>
        <v>0</v>
      </c>
      <c r="G2" s="76" t="str">
        <f>RIGHT($A$1,(4))</f>
        <v>0</v>
      </c>
      <c r="H2" s="76" t="str">
        <f>RIGHT($A$1,(3))</f>
        <v>0</v>
      </c>
      <c r="I2" s="76" t="str">
        <f>RIGHT($A$1,(2))</f>
        <v>0</v>
      </c>
      <c r="J2" s="77" t="str">
        <f>RIGHT($A$1)</f>
        <v>0</v>
      </c>
      <c r="L2"/>
    </row>
    <row r="3" spans="1:12" s="52" customFormat="1" ht="23.25" customHeight="1" x14ac:dyDescent="0.25">
      <c r="A3" s="78">
        <f t="shared" ref="A3:J3" si="0">LEN(A2)</f>
        <v>1</v>
      </c>
      <c r="B3" s="54">
        <f t="shared" si="0"/>
        <v>1</v>
      </c>
      <c r="C3" s="54">
        <f t="shared" si="0"/>
        <v>1</v>
      </c>
      <c r="D3" s="54">
        <f t="shared" si="0"/>
        <v>1</v>
      </c>
      <c r="E3" s="54">
        <f t="shared" si="0"/>
        <v>1</v>
      </c>
      <c r="F3" s="54">
        <f t="shared" si="0"/>
        <v>1</v>
      </c>
      <c r="G3" s="54">
        <f t="shared" si="0"/>
        <v>1</v>
      </c>
      <c r="H3" s="54">
        <f t="shared" si="0"/>
        <v>1</v>
      </c>
      <c r="I3" s="54">
        <f t="shared" si="0"/>
        <v>1</v>
      </c>
      <c r="J3" s="79">
        <f t="shared" si="0"/>
        <v>1</v>
      </c>
      <c r="L3"/>
    </row>
    <row r="4" spans="1:12" x14ac:dyDescent="0.25">
      <c r="A4" s="78" t="b">
        <f>IF(A3=10,TRUE,FALSE)</f>
        <v>0</v>
      </c>
      <c r="B4" s="54" t="b">
        <f>IF(B3=9,TRUE,FALSE)</f>
        <v>0</v>
      </c>
      <c r="C4" s="54" t="b">
        <f>IF(C3=8,TRUE,FALSE)</f>
        <v>0</v>
      </c>
      <c r="D4" s="54" t="b">
        <f>IF(D3=7,TRUE,FALSE)</f>
        <v>0</v>
      </c>
      <c r="E4" s="54" t="b">
        <f>IF(E3=6,TRUE,FALSE)</f>
        <v>0</v>
      </c>
      <c r="F4" s="54" t="b">
        <f>IF(F3=5,TRUE,FALSE)</f>
        <v>0</v>
      </c>
      <c r="G4" s="54" t="b">
        <f>IF(G3=4,TRUE,FALSE)</f>
        <v>0</v>
      </c>
      <c r="H4" s="54" t="b">
        <f>IF(H3=3,TRUE,FALSE)</f>
        <v>0</v>
      </c>
      <c r="I4" s="54" t="b">
        <f>IF(I3=2,TRUE,FALSE)</f>
        <v>0</v>
      </c>
      <c r="J4" s="79" t="b">
        <f>IF(J3=1,TRUE,FALSE)</f>
        <v>1</v>
      </c>
    </row>
    <row r="5" spans="1:12" x14ac:dyDescent="0.25">
      <c r="A5" s="78" t="str">
        <f t="shared" ref="A5:J5" si="1">MID(A2,1,1)</f>
        <v>0</v>
      </c>
      <c r="B5" s="54" t="str">
        <f t="shared" si="1"/>
        <v>0</v>
      </c>
      <c r="C5" s="54" t="str">
        <f t="shared" si="1"/>
        <v>0</v>
      </c>
      <c r="D5" s="54" t="str">
        <f t="shared" si="1"/>
        <v>0</v>
      </c>
      <c r="E5" s="54" t="str">
        <f t="shared" si="1"/>
        <v>0</v>
      </c>
      <c r="F5" s="54" t="str">
        <f t="shared" si="1"/>
        <v>0</v>
      </c>
      <c r="G5" s="54" t="str">
        <f t="shared" si="1"/>
        <v>0</v>
      </c>
      <c r="H5" s="54" t="str">
        <f t="shared" si="1"/>
        <v>0</v>
      </c>
      <c r="I5" s="54" t="str">
        <f t="shared" si="1"/>
        <v>0</v>
      </c>
      <c r="J5" s="79" t="str">
        <f t="shared" si="1"/>
        <v>0</v>
      </c>
    </row>
    <row r="6" spans="1:12" x14ac:dyDescent="0.25">
      <c r="A6" s="78">
        <f t="shared" ref="A6:F6" si="2">IF(A4=TRUE,(VALUE(A5)),0)</f>
        <v>0</v>
      </c>
      <c r="B6" s="54">
        <f t="shared" si="2"/>
        <v>0</v>
      </c>
      <c r="C6" s="54">
        <f t="shared" si="2"/>
        <v>0</v>
      </c>
      <c r="D6" s="54">
        <f t="shared" si="2"/>
        <v>0</v>
      </c>
      <c r="E6" s="54">
        <f t="shared" si="2"/>
        <v>0</v>
      </c>
      <c r="F6" s="54">
        <f t="shared" si="2"/>
        <v>0</v>
      </c>
      <c r="G6" s="54">
        <f>IF(G4=TRUE,(VALUE(G5)),)</f>
        <v>0</v>
      </c>
      <c r="H6" s="54">
        <f>IF(H4=TRUE,(VALUE(H5)),0)</f>
        <v>0</v>
      </c>
      <c r="I6" s="54">
        <f>IF(I4=TRUE,(VALUE(I5)),0)</f>
        <v>0</v>
      </c>
      <c r="J6" s="79">
        <f>IF(J4=TRUE,(VALUE(J5)),0)</f>
        <v>0</v>
      </c>
    </row>
    <row r="7" spans="1:12" x14ac:dyDescent="0.25">
      <c r="A7" s="78"/>
      <c r="B7" s="54"/>
      <c r="C7" s="54"/>
      <c r="D7" s="54"/>
      <c r="E7" s="54"/>
      <c r="F7" s="54"/>
      <c r="G7" s="54"/>
      <c r="H7" s="54"/>
      <c r="I7" s="54"/>
      <c r="J7" s="79"/>
    </row>
    <row r="8" spans="1:12" x14ac:dyDescent="0.25">
      <c r="A8" s="80">
        <f t="shared" ref="A8:J8" si="3">A6</f>
        <v>0</v>
      </c>
      <c r="B8" s="55">
        <f t="shared" si="3"/>
        <v>0</v>
      </c>
      <c r="C8" s="55">
        <f t="shared" si="3"/>
        <v>0</v>
      </c>
      <c r="D8" s="55">
        <f t="shared" si="3"/>
        <v>0</v>
      </c>
      <c r="E8" s="55">
        <f t="shared" si="3"/>
        <v>0</v>
      </c>
      <c r="F8" s="55">
        <f t="shared" si="3"/>
        <v>0</v>
      </c>
      <c r="G8" s="55">
        <f t="shared" si="3"/>
        <v>0</v>
      </c>
      <c r="H8" s="55">
        <f t="shared" si="3"/>
        <v>0</v>
      </c>
      <c r="I8" s="55">
        <f t="shared" si="3"/>
        <v>0</v>
      </c>
      <c r="J8" s="81">
        <f t="shared" si="3"/>
        <v>0</v>
      </c>
      <c r="L8" s="51"/>
    </row>
    <row r="9" spans="1:12" x14ac:dyDescent="0.25">
      <c r="A9" s="78"/>
      <c r="B9" s="54"/>
      <c r="C9" s="54"/>
      <c r="D9" s="54"/>
      <c r="E9" s="54"/>
      <c r="F9" s="54"/>
      <c r="G9" s="54"/>
      <c r="H9" s="54"/>
      <c r="I9" s="54"/>
      <c r="J9" s="79"/>
    </row>
    <row r="10" spans="1:12" s="51" customFormat="1" x14ac:dyDescent="0.25">
      <c r="A10" s="78"/>
      <c r="B10" s="54"/>
      <c r="C10" s="54"/>
      <c r="D10" s="54"/>
      <c r="E10" s="54"/>
      <c r="F10" s="54"/>
      <c r="G10" s="54"/>
      <c r="H10" s="54"/>
      <c r="I10" s="54"/>
      <c r="J10" s="79"/>
      <c r="L10"/>
    </row>
    <row r="11" spans="1:12" x14ac:dyDescent="0.25">
      <c r="A11" s="78"/>
      <c r="B11" s="54"/>
      <c r="C11" s="54"/>
      <c r="D11" s="54"/>
      <c r="E11" s="54"/>
      <c r="F11" s="54"/>
      <c r="G11" s="54"/>
      <c r="H11" s="54"/>
      <c r="I11" s="54"/>
      <c r="J11" s="79"/>
    </row>
    <row r="12" spans="1:12" x14ac:dyDescent="0.25">
      <c r="A12" s="78" t="b">
        <f>IF(A8=1," MIL",IF(A8=2," DOS MIL",IF(A8=3," TRES MIL",IF(A8=4," CUATRO MIL",IF(A8=5," CINCO MIL")))))</f>
        <v>0</v>
      </c>
      <c r="B12" s="54" t="b">
        <f>IF(B8=1," CIENTO",IF(B8=2," DOSCIENTOS ",IF(B8=3," TRESCIENTOS",IF(B8=4," CUATROCIENTOS",IF(B8=5," QUINIENTOS")))))</f>
        <v>0</v>
      </c>
      <c r="C12" s="54" t="b">
        <f>IF(C8=1," DIEZ Y",IF(C8=2," VEINTI",IF(C8=3," TREINTA Y",IF(C8=4," CUARENTA Y",IF(C8=5," CINCUENTA Y")))))</f>
        <v>0</v>
      </c>
      <c r="D12" s="54" t="str">
        <f>IF(C12=" VEINTI",""," ")&amp;IF(D8=0,"MILLONES",IF(D8=1,"UN MILLONES",IF(D8=2,"DOS MILLONES",IF(D8=3,"TRES MILLONES",IF(D8=4,"CUATRO MILLONES",IF(D8=5,"CINCO MILLONES"))))))</f>
        <v xml:space="preserve"> MILLONES</v>
      </c>
      <c r="E12" s="54" t="b">
        <f>IF(E8=1," CIENTO",IF(E8=2," DOSCIENTOS ",IF(E8=3," TRESCIENTOS",IF(E8=4," CUATROCIENTOS",IF(E8=5," QUINIENTOS")))))</f>
        <v>0</v>
      </c>
      <c r="F12" s="54" t="b">
        <f>IF(F8=1," DIEZ Y",IF(F8=2," VEINTI",IF(F8=3," TREINTA Y",IF(F8=4," CUARENTA Y",IF(F8=5," CINCUENTA Y")))))</f>
        <v>0</v>
      </c>
      <c r="G12" s="54" t="str">
        <f>IF(F12=" VEINTI",""," ")&amp;IF(G8=1,"UN MIL",IF(G8=2,"DOS MIL",IF(G8=3,"TRES MIL",IF(G8=4,"CUATRO MIL",IF(G8=5,"CINCO MIL")))))</f>
        <v xml:space="preserve"> FALSO</v>
      </c>
      <c r="H12" s="54" t="b">
        <f>IF(H8=1," CIENTO",IF(H8=2," DOSCIENTOS ",IF(H8=3," TRESCIENTOS",IF(H8=4," CUATROCIENTOS",IF(H8=5," QUINIENTOS")))))</f>
        <v>0</v>
      </c>
      <c r="I12" s="54" t="b">
        <f>IF(I8=1," DIEZ Y",IF(I8=2," VEINTI",IF(I8=3," TREINTA Y",IF(I8=4," CUARENTA Y",IF(I8=5," CINCUENTA Y")))))</f>
        <v>0</v>
      </c>
      <c r="J12" s="79" t="str">
        <f>IF(I12=" VEINTI",""," ")&amp;IF(J8=1,"UN",IF(J8=2,"DOS",IF(J8=3,"TRES",IF(J8=4,"CUATRO",IF(J8=5,"CINCO")))))</f>
        <v xml:space="preserve"> FALSO</v>
      </c>
    </row>
    <row r="13" spans="1:12" x14ac:dyDescent="0.25">
      <c r="A13" s="78" t="b">
        <f>IF(A8=6," SEIS MIL",IF(A8=7," SIETE MIL",IF(A8=8," OCHO MIL",IF(A8=9," NUEVE MIL"))))</f>
        <v>0</v>
      </c>
      <c r="B13" s="54" t="b">
        <f>IF(B8=6," SEISCIENTOS",IF(B8=7," SETECIENTOS",IF(B8=8," OCHOCIENTOS",IF(B8=9," NOVECIENTOS"))))</f>
        <v>0</v>
      </c>
      <c r="C13" s="54" t="b">
        <f>IF(C8=6," SESENTA Y",IF(C8=7," SETENTA Y",IF(C8=8," OCHENTA Y",IF(C8=9," NOVENTA Y"))))</f>
        <v>0</v>
      </c>
      <c r="D13" s="54" t="str">
        <f>IF(C12=" VEINTI",""," ")&amp;IF(D8=6,"SEIS MILLONES",IF(D8=7,"SIETE MILLONES",IF(D8=8,"OCHO MILLONES",IF(D8=9,"NUEVE MILLONES"))))</f>
        <v xml:space="preserve"> FALSO</v>
      </c>
      <c r="E13" s="54" t="b">
        <f>IF(E8=6," SEISCIENTOS",IF(E8=7," SETECIENTOS",IF(E8=8," OCHOCIENTOS",IF(E8=9," NOVECIENTOS"))))</f>
        <v>0</v>
      </c>
      <c r="F13" s="54" t="b">
        <f>IF(F8=6," SESENTA Y",IF(F8=7," SETENTA Y",IF(F8=8," OCHENTA Y",IF(F8=9," NOVENTA Y"))))</f>
        <v>0</v>
      </c>
      <c r="G13" s="54" t="str">
        <f>IF(F12=" VEINTI",""," ")&amp;IF(G8=6,"SEIS MIL",IF(G8=7,"SIETE MIL",IF(G8=8,"OCHO MIL",IF(G8=9,"NUEVE MIL"))))</f>
        <v xml:space="preserve"> FALSO</v>
      </c>
      <c r="H13" s="54" t="b">
        <f>IF(H8=6," SEISCIENTOS",IF(H8=7," SETECIENTOS",IF(H8=8," OCHOCIENTOS",IF(H8=9," NOVECIENTOS"))))</f>
        <v>0</v>
      </c>
      <c r="I13" s="54" t="b">
        <f>IF(I8=6," SESENTA Y",IF(I8=7," SETENTA Y",IF(I8=8," OCHENTA Y",IF(I8=9," NOVENTA Y"))))</f>
        <v>0</v>
      </c>
      <c r="J13" s="79" t="str">
        <f>IF(I12=" VEINTI",""," ")&amp;IF(J8=6,"SEIS",IF(J8=7,"SIETE",IF(J8=8,"OCHO",IF(J8=9,"NUEVE"))))</f>
        <v xml:space="preserve"> FALSO</v>
      </c>
    </row>
    <row r="14" spans="1:12" x14ac:dyDescent="0.25">
      <c r="A14" s="78" t="b">
        <f>IF(OR(A12=FALSE,RIGHT(A12,5)="FALSO"),A13,A12)</f>
        <v>0</v>
      </c>
      <c r="B14" s="54" t="b">
        <f t="shared" ref="B14:I14" si="4">IF(OR(B12=FALSE,RIGHT(B12,5)="FALSO"),B13,B12)</f>
        <v>0</v>
      </c>
      <c r="C14" s="54" t="b">
        <f t="shared" si="4"/>
        <v>0</v>
      </c>
      <c r="D14" s="54" t="str">
        <f>IF(OR(D12=FALSE,RIGHT(D12,5)="FALSO"),D13,D12)</f>
        <v xml:space="preserve"> MILLONES</v>
      </c>
      <c r="E14" s="54" t="b">
        <f t="shared" si="4"/>
        <v>0</v>
      </c>
      <c r="F14" s="54" t="b">
        <f t="shared" si="4"/>
        <v>0</v>
      </c>
      <c r="G14" s="54" t="str">
        <f>IF(OR(G12=FALSE,RIGHT(G12,5)="FALSO"),G13,G12)</f>
        <v xml:space="preserve"> FALSO</v>
      </c>
      <c r="H14" s="54" t="b">
        <f t="shared" si="4"/>
        <v>0</v>
      </c>
      <c r="I14" s="54" t="b">
        <f t="shared" si="4"/>
        <v>0</v>
      </c>
      <c r="J14" s="79" t="str">
        <f>IF(OR(J12=FALSE,RIGHT(J12,5)="FALSO"),J13,J12)</f>
        <v xml:space="preserve"> FALSO</v>
      </c>
    </row>
    <row r="15" spans="1:12" x14ac:dyDescent="0.25">
      <c r="A15" s="78" t="str">
        <f>CONCATENATE(A8,B8,C8,D8,)</f>
        <v>0000</v>
      </c>
      <c r="B15" s="54" t="str">
        <f>CONCATENATE(B8,C8,D8)</f>
        <v>000</v>
      </c>
      <c r="C15" s="54" t="str">
        <f>CONCATENATE(C8,D8)</f>
        <v>00</v>
      </c>
      <c r="D15" s="54" t="str">
        <f>CONCATENATE(C8,D8)</f>
        <v>00</v>
      </c>
      <c r="E15" s="54" t="str">
        <f>CONCATENATE(E8,F8,G8)</f>
        <v>000</v>
      </c>
      <c r="F15" s="54" t="str">
        <f>CONCATENATE(F8,G8)</f>
        <v>00</v>
      </c>
      <c r="G15" s="54" t="str">
        <f>CONCATENATE(F8,G8)</f>
        <v>00</v>
      </c>
      <c r="H15" s="54" t="str">
        <f>CONCATENATE(H8,I8,J8)</f>
        <v>000</v>
      </c>
      <c r="I15" s="54" t="str">
        <f>CONCATENATE(I8,J8)</f>
        <v>00</v>
      </c>
      <c r="J15" s="79" t="str">
        <f>CONCATENATE(I8,J8)</f>
        <v>00</v>
      </c>
    </row>
    <row r="16" spans="1:12" x14ac:dyDescent="0.25">
      <c r="A16" s="78" t="str">
        <f>IF(A8=0,"",IF(A15="00000","",IF(A15="10000","",IF(A15="11000","",IF(A15="12000","",IF(A15="13000","",IF(A15="14000","",IF(A15="15000",""))))))))</f>
        <v/>
      </c>
      <c r="B16" s="54" t="str">
        <f>IF(B8=0,"",IF(B15="000","",IF(B15="100"," CIEN MILLONES" )))</f>
        <v/>
      </c>
      <c r="C16" s="54" t="str">
        <f>IF(C8=0,"",IF(C15="00","",IF(C15="10"," DIEZ MILLONES",IF(C15="11"," ONCE MILLONES",IF(C15="12"," DOCE MILLONES",IF(C15="13"," TRECE MILLONES",IF(C15="14"," CATORCE MILLONES",IF(C15="15"," QUINCE MILLONES",IF(C15="16"," DIECISEIS MILLONES",IF(C15="17"," DIECISIETE MILLONES",IF(C15="18"," DIECIOCHO MILLONES",IF(C15="19"," DIECINUEVE MILLONES"))))))))))))</f>
        <v/>
      </c>
      <c r="D16" s="54" t="str">
        <f>IF(D8=0,"",IF(D15="00","",IF(D15="10","",IF(D15="11","",IF(D15="12","",IF(D15="13","",IF(D15="14","",IF(D15="15","",IF(D15="16","",IF(D15="17","",IF(D15="18","",IF(D15="19",""))))))))))))</f>
        <v/>
      </c>
      <c r="E16" s="54" t="str">
        <f>IF(E8=0,"",IF(E15="000","",IF(E15="100"," CIEN MIL " )))</f>
        <v/>
      </c>
      <c r="F16" s="54" t="str">
        <f>IF(F8=0,"",IF(F15="00","",IF(F15="10"," DIEZ MIL ",IF(F15="11"," ONCE MIL ",IF(F15="12"," DOCE MIL ",IF(F15="13"," TRECE MIL ",IF(F15="14"," CATORCE MIL ",IF(F15="15"," QUINCE MIL ",IF(F15="16"," DIECISEIS MIL ",IF(F15="17"," DIECISIETE MIL ",IF(F15="18"," DIECIOCHO MIL",IF(F15="19"," DIECINUEVE MIL "))))))))))))</f>
        <v/>
      </c>
      <c r="G16" s="54" t="str">
        <f>IF(G8=0,"",IF(G15="00","",IF(G15="10","",IF(G15="11","",IF(G15="12","",IF(G15="13","",IF(G15="14","",IF(G15="15","",IF(G15="16","",IF(G15="17","",IF(G15="18","",IF(G15="19",""))))))))))))</f>
        <v/>
      </c>
      <c r="H16" s="54" t="str">
        <f>IF(H8=0,"",IF(H15="000","",IF(H15="100"," CIEN" )))</f>
        <v/>
      </c>
      <c r="I16" s="54" t="str">
        <f>IF(I8=0,"",IF(I15="00","",IF(I15="10"," DIEZ",IF(I15="11"," ONCE",IF(I15="12"," DOCE",IF(I15="13"," TRECE",IF(I15="14"," CATORCE",IF(I15="15"," QUINCE",IF(I15="16"," DIECISEIS",IF(I15="17"," DIECISIETE",IF(I15="18"," DIECIOCHO",IF(I15="19"," DIECINUEVE"))))))))))))</f>
        <v/>
      </c>
      <c r="J16" s="79" t="str">
        <f>IF(J8=0,"",IF(J15="00","",IF(J15="10","",IF(J15="11","",IF(J15="12","",IF(J15="13","",IF(J15="14","",IF(J15="15","",IF(J15="16","",IF(J15="17","",IF(J15="18","",IF(J15="19",""))))))))))))</f>
        <v/>
      </c>
    </row>
    <row r="17" spans="1:12" x14ac:dyDescent="0.25">
      <c r="A17" s="78" t="str">
        <f>IF(A16=FALSE,A14,A16)</f>
        <v/>
      </c>
      <c r="B17" s="54" t="b">
        <f>IF(B15="200"," DOSCIENTOS MILLONES",IF(B15="300"," TRESCIENTOS MILLONES",IF(B15="400"," CUATROCIENTOS MILLONES",IF(B15="500"," QUINIENTOS MILLONES",IF(B15="600"," SEISCIENTOS MILLONES",IF(B15="700"," SETECIENTOS MILLONES",IF(B15="800"," OCHOCIENTOS MILLONES",IF(B15="900"," NOVECIENTOS MILLONES"))))))))</f>
        <v>0</v>
      </c>
      <c r="C17" s="54" t="b">
        <f>IF(C15="20"," VEINTE",IF(C15="30"," TREINTA",IF(C15="40"," CUARENTA",IF(C15="50"," CINCUENTA",IF(C15="60"," SESENTA",IF(C15="70"," SETENTA",IF(C15="80"," OCHENTA",IF(C15="90"," NOVENTA"))))))))</f>
        <v>0</v>
      </c>
      <c r="D17" s="54" t="str">
        <f>IF(D16=FALSE,D14,D16)</f>
        <v/>
      </c>
      <c r="E17" s="54" t="b">
        <f>IF(E15="200"," DOSCIENTOS MIL",IF(E15="300"," TRESCIENTOS MIL",IF(E15="400"," CUATROCIENTOS MIL",IF(E15="500"," QUINIENTOS MIL",IF(E15="600"," SEISCIENTOS MIL",IF(E15="700"," SETECIENTOS MIL",IF(E15="800"," OCHOCIENTOS MIL",IF(E15="900"," NOVECIENTOS MIL"))))))))</f>
        <v>0</v>
      </c>
      <c r="F17" s="54" t="b">
        <f>IF(F15="20"," VEINTE MIL ",IF(F15="30"," TREINTA MIL ",IF(F15="40"," CUARENTA MIL ",IF(F15="50"," CINCUENTA MIL ",IF(F15="60"," SESENTA MIL ",IF(F15="70"," SETENTA MIL ",IF(F15="80"," OCHENTA MIL ",IF(F15="90"," NOVENTA MIL "))))))))</f>
        <v>0</v>
      </c>
      <c r="G17" s="54" t="str">
        <f>IF(G16=FALSE,G14,G16)</f>
        <v/>
      </c>
      <c r="H17" s="54" t="str">
        <f>IF(H16=FALSE,H14,H16)</f>
        <v/>
      </c>
      <c r="I17" s="54" t="b">
        <f>IF(I15="20"," VEINTE",IF(I15="30"," TREINTA",IF(I15="40"," CUARENTA",IF(I15="50"," CINCUENTA",IF(I15="60"," SESENTA",IF(I15="70"," SETENTA",IF(I15="80"," OCHENTA",IF(I15="90"," NOVENTA"))))))))</f>
        <v>0</v>
      </c>
      <c r="J17" s="79" t="str">
        <f>IF(J16=FALSE,J14,J16)</f>
        <v/>
      </c>
    </row>
    <row r="18" spans="1:12" x14ac:dyDescent="0.25">
      <c r="A18" s="78"/>
      <c r="B18" s="54" t="str">
        <f>IF(B16=FALSE,B14,B16)</f>
        <v/>
      </c>
      <c r="C18" s="54" t="str">
        <f>IF(C16=FALSE,C14,C16)</f>
        <v/>
      </c>
      <c r="D18" s="54" t="str">
        <f>CONCATENATE(A8,B8,C8,D8)</f>
        <v>0000</v>
      </c>
      <c r="E18" s="54" t="str">
        <f>IF(E16=FALSE,E14,E16)</f>
        <v/>
      </c>
      <c r="F18" s="54" t="str">
        <f>IF(F16=FALSE,F14,F16)</f>
        <v/>
      </c>
      <c r="G18" s="54"/>
      <c r="H18" s="54"/>
      <c r="I18" s="54" t="str">
        <f>IF(I16=FALSE,I14,I16)</f>
        <v/>
      </c>
      <c r="J18" s="79"/>
    </row>
    <row r="19" spans="1:12" x14ac:dyDescent="0.25">
      <c r="A19" s="78"/>
      <c r="B19" s="54" t="str">
        <f>IF(B17=FALSE,B18,B17)</f>
        <v/>
      </c>
      <c r="C19" s="54" t="str">
        <f>IF(C17=FALSE,C18,C17)</f>
        <v/>
      </c>
      <c r="D19" s="54" t="str">
        <f>IF(D18="0001","UN MILLÓN",D17)</f>
        <v/>
      </c>
      <c r="E19" s="54" t="str">
        <f>IF(E17=FALSE,E18,E17)</f>
        <v/>
      </c>
      <c r="F19" s="54" t="str">
        <f>IF(F17=FALSE,F18,F17)</f>
        <v/>
      </c>
      <c r="G19" s="54"/>
      <c r="H19" s="54"/>
      <c r="I19" s="54" t="str">
        <f>IF(I17=FALSE,I18,I17)</f>
        <v/>
      </c>
      <c r="J19" s="79"/>
    </row>
    <row r="20" spans="1:12" x14ac:dyDescent="0.25">
      <c r="A20" s="78"/>
      <c r="B20" s="54"/>
      <c r="C20" s="54"/>
      <c r="D20" s="54"/>
      <c r="E20" s="54"/>
      <c r="F20" s="54"/>
      <c r="G20" s="54"/>
      <c r="H20" s="54"/>
      <c r="I20" s="54"/>
      <c r="J20" s="79"/>
    </row>
    <row r="21" spans="1:12" x14ac:dyDescent="0.25">
      <c r="A21" s="82" t="str">
        <f>A17</f>
        <v/>
      </c>
      <c r="B21" s="83" t="str">
        <f>B19</f>
        <v/>
      </c>
      <c r="C21" s="83" t="str">
        <f>C19</f>
        <v/>
      </c>
      <c r="D21" s="83" t="str">
        <f>D19</f>
        <v/>
      </c>
      <c r="E21" s="83" t="str">
        <f>E19</f>
        <v/>
      </c>
      <c r="F21" s="83" t="str">
        <f>F19</f>
        <v/>
      </c>
      <c r="G21" s="83" t="str">
        <f>G17</f>
        <v/>
      </c>
      <c r="H21" s="83" t="str">
        <f>H17</f>
        <v/>
      </c>
      <c r="I21" s="83" t="str">
        <f>I19</f>
        <v/>
      </c>
      <c r="J21" s="84" t="str">
        <f>J17</f>
        <v/>
      </c>
    </row>
    <row r="22" spans="1:12" x14ac:dyDescent="0.25">
      <c r="B22" s="71"/>
      <c r="C22" s="71"/>
      <c r="D22" s="71"/>
      <c r="E22" s="71"/>
      <c r="F22" s="71"/>
    </row>
    <row r="23" spans="1:12" x14ac:dyDescent="0.25">
      <c r="A23" s="71" t="s">
        <v>36</v>
      </c>
      <c r="B23" s="72" t="s">
        <v>35</v>
      </c>
      <c r="C23" s="71"/>
      <c r="D23" s="71"/>
      <c r="E23" s="73">
        <f>'Solicitud de Apertura'!D13</f>
        <v>0</v>
      </c>
      <c r="F23" s="71" t="str">
        <f>C25</f>
        <v/>
      </c>
    </row>
    <row r="24" spans="1:12" x14ac:dyDescent="0.25">
      <c r="A24" s="71"/>
      <c r="B24" s="71"/>
      <c r="C24" s="71"/>
      <c r="D24" s="71"/>
      <c r="E24" s="71"/>
      <c r="F24" s="71"/>
    </row>
    <row r="25" spans="1:12" x14ac:dyDescent="0.25">
      <c r="A25" s="89" t="s">
        <v>34</v>
      </c>
      <c r="B25" s="85"/>
      <c r="C25" s="86" t="str">
        <f>TRIM(LOWER(CONCATENATE(A21,B21,C21,D21,E21,F21,G21,H21,I21,J21)))</f>
        <v/>
      </c>
      <c r="D25" s="87">
        <f>LEN(C25)</f>
        <v>0</v>
      </c>
      <c r="E25" s="87" t="str">
        <f>"("&amp;TRIM(LOWER(CONCATENATE(A21,B21,C21,D21,E21,F21,G21,H21,I21,J21)))&amp;" y 00/100 soles)"</f>
        <v>( y 00/100 soles)</v>
      </c>
      <c r="F25" s="87">
        <f>LEN(E25)</f>
        <v>17</v>
      </c>
      <c r="G25" s="56"/>
      <c r="H25" s="56"/>
      <c r="I25" s="56"/>
      <c r="J25" s="56"/>
      <c r="K25" s="56"/>
      <c r="L25" s="56"/>
    </row>
    <row r="26" spans="1:12" x14ac:dyDescent="0.25">
      <c r="A26" s="85"/>
      <c r="B26" s="87"/>
      <c r="C26" s="87"/>
      <c r="D26" s="87"/>
      <c r="E26" s="87"/>
      <c r="F26" s="87"/>
      <c r="G26" s="56"/>
      <c r="H26" s="56"/>
      <c r="I26" s="56"/>
      <c r="J26" s="56"/>
      <c r="K26" s="56"/>
      <c r="L26" s="56"/>
    </row>
    <row r="27" spans="1:12" s="53" customFormat="1" x14ac:dyDescent="0.25">
      <c r="A27" s="90" t="s">
        <v>49</v>
      </c>
      <c r="B27" s="88"/>
      <c r="C27" s="88"/>
      <c r="D27" s="88"/>
      <c r="E27" s="88"/>
      <c r="F27" s="88"/>
      <c r="G27" s="57"/>
      <c r="H27" s="57"/>
      <c r="I27" s="57"/>
      <c r="J27" s="57"/>
      <c r="K27" s="57"/>
      <c r="L27" s="57"/>
    </row>
    <row r="28" spans="1:12" s="53" customFormat="1" x14ac:dyDescent="0.25">
      <c r="A28" s="94" t="s">
        <v>60</v>
      </c>
      <c r="B28" s="60" t="s">
        <v>51</v>
      </c>
      <c r="C28" s="92" t="s">
        <v>41</v>
      </c>
      <c r="D28" s="62" t="str">
        <f>IF('Solicitud de Apertura'!D13=0,"{  monto  }",'Solicitud de Apertura'!D13)</f>
        <v>{  monto  }</v>
      </c>
      <c r="E28" s="92" t="s">
        <v>38</v>
      </c>
      <c r="F28" s="57" t="str">
        <f>IF(D25=0,"{         monto en letras         }",E25)</f>
        <v>{         monto en letras         }</v>
      </c>
      <c r="G28" s="64" t="str">
        <f>RIGHT(TEXT(D28,"000,000,000.00"),LEN(D28)+IF(LEN(D28)&lt;=6,4,IF(LEN(D28)&lt;=8,5,6)))</f>
        <v>{  monto  }</v>
      </c>
      <c r="H28" s="92" t="s">
        <v>75</v>
      </c>
      <c r="I28" s="57" t="str">
        <f>IF(OR('Solicitud de Apertura'!D9="",'Solicitud de Apertura'!E9=""),"{ N° de cuenta }",'Solicitud de Apertura'!D9&amp;'Solicitud de Apertura'!E9&amp;'Solicitud de Apertura'!F9)</f>
        <v>{ N° de cuenta }</v>
      </c>
      <c r="J28" s="92" t="s">
        <v>80</v>
      </c>
      <c r="K28" s="57"/>
      <c r="L28" s="57"/>
    </row>
    <row r="29" spans="1:12" s="53" customFormat="1" ht="39.75" customHeight="1" x14ac:dyDescent="0.25">
      <c r="B29" s="60" t="s">
        <v>52</v>
      </c>
      <c r="C29" s="197" t="str">
        <f>C28&amp;" "&amp;G28&amp;" "&amp;E28&amp;" "&amp;F28&amp;" "&amp;H28&amp;" "&amp;I28&amp;" "&amp;J28</f>
        <v>el monto de {  monto  } soles (S/) {         monto en letras         } de su cuenta N° { N° de cuenta } moneda soles (S/) al depósito a plazo fijo que Interbank abrirá a sus nombres dentro de los tres (3) días útiles siguientes.</v>
      </c>
      <c r="D29" s="197"/>
      <c r="E29" s="197"/>
      <c r="F29" s="197"/>
      <c r="G29" s="197"/>
      <c r="H29" s="197"/>
      <c r="I29" s="197"/>
      <c r="J29" s="197"/>
      <c r="K29" s="197"/>
      <c r="L29" s="197"/>
    </row>
    <row r="30" spans="1:12" s="53" customFormat="1" ht="36.75" customHeight="1" x14ac:dyDescent="0.25">
      <c r="B30" s="60" t="s">
        <v>53</v>
      </c>
      <c r="C30" s="93" t="s">
        <v>43</v>
      </c>
      <c r="D30" s="59" t="str">
        <f>IF('Solicitud de Apertura'!D41="","{   TREA del Plazo   }",'Solicitud de Apertura'!D41)</f>
        <v>{   TREA del Plazo   }</v>
      </c>
      <c r="E30" s="92" t="s">
        <v>56</v>
      </c>
      <c r="F30" s="63">
        <f>IFERROR(ROUND('Solicitud de Apertura'!D43,2),"{   Intereses acumulados   }")</f>
        <v>0</v>
      </c>
      <c r="G30" s="91" t="str">
        <f>IFERROR(TRUNC(F30,0)&amp;"."&amp;TEXT(ROUND((F30-TRUNC(F30,0))*100,0),"00"),"{   Intereses acumulados   }")</f>
        <v>0.00</v>
      </c>
      <c r="H30" s="93" t="s">
        <v>58</v>
      </c>
      <c r="I30" s="93" t="s">
        <v>45</v>
      </c>
      <c r="J30" s="58" t="str">
        <f>IF('Solicitud de Apertura'!D15=0,"{   Años del plazo   }",'Solicitud de Apertura'!D15)</f>
        <v>{   Años del plazo   }</v>
      </c>
      <c r="K30" s="58" t="str">
        <f>"año"&amp;IF(J30=1,"","s")</f>
        <v>años</v>
      </c>
      <c r="L30" s="58" t="s">
        <v>72</v>
      </c>
    </row>
    <row r="31" spans="1:12" s="53" customFormat="1" ht="39.75" customHeight="1" x14ac:dyDescent="0.25">
      <c r="B31" s="60" t="s">
        <v>54</v>
      </c>
      <c r="C31" s="197" t="str">
        <f>C30&amp;" "&amp;TEXT(D30,"0.00%")&amp;E30&amp;" "&amp;G30&amp;" "&amp;H30&amp;" "&amp;I30&amp;" "&amp;J30&amp;" "&amp;K30&amp;L30</f>
        <v>El depósito a plazo pagará una Tasa de Rendimiento Efectiva anual de {   TREA del Plazo   }, equivalente aproximadamente a 0.00 soles (S/) por concepto de interés total sobre el importe disponible, a un plazo de {   Años del plazo   } años, contados desde la fecha que se hace efectivo el depósito a plazo, bajo los términos del contrato suscrito entre el Cliente e Interbank. El cálculo de interés corresponden al Depósito a Plazo Jubilación. La presente cartilla no es negociable.</v>
      </c>
      <c r="D31" s="197"/>
      <c r="E31" s="197"/>
      <c r="F31" s="197"/>
      <c r="G31" s="197"/>
      <c r="H31" s="197"/>
      <c r="I31" s="197"/>
      <c r="J31" s="197"/>
      <c r="K31" s="197"/>
      <c r="L31" s="197"/>
    </row>
    <row r="32" spans="1:12" s="53" customFormat="1" x14ac:dyDescent="0.25">
      <c r="B32" s="60" t="s">
        <v>55</v>
      </c>
      <c r="C32" s="57" t="str">
        <f>C29&amp;" "&amp;C31</f>
        <v>el monto de {  monto  } soles (S/) {         monto en letras         } de su cuenta N° { N° de cuenta } moneda soles (S/) al depósito a plazo fijo que Interbank abrirá a sus nombres dentro de los tres (3) días útiles siguientes. El depósito a plazo pagará una Tasa de Rendimiento Efectiva anual de {   TREA del Plazo   }, equivalente aproximadamente a 0.00 soles (S/) por concepto de interés total sobre el importe disponible, a un plazo de {   Años del plazo   } años, contados desde la fecha que se hace efectivo el depósito a plazo, bajo los términos del contrato suscrito entre el Cliente e Interbank. El cálculo de interés corresponden al Depósito a Plazo Jubilación. La presente cartilla no es negociable.</v>
      </c>
      <c r="D32" s="57"/>
      <c r="E32" s="57"/>
      <c r="F32" s="57"/>
      <c r="G32" s="57"/>
      <c r="H32" s="57"/>
      <c r="I32" s="57"/>
      <c r="J32" s="57"/>
      <c r="K32" s="57"/>
      <c r="L32" s="57"/>
    </row>
    <row r="33" spans="2:12" s="53" customFormat="1" x14ac:dyDescent="0.25">
      <c r="B33" s="60"/>
      <c r="C33" s="57"/>
      <c r="D33" s="57"/>
      <c r="E33" s="57"/>
      <c r="F33" s="57"/>
      <c r="G33" s="57"/>
      <c r="H33" s="57"/>
      <c r="I33" s="57"/>
      <c r="J33" s="57"/>
      <c r="K33" s="57"/>
      <c r="L33" s="57"/>
    </row>
    <row r="34" spans="2:12" s="53" customFormat="1" x14ac:dyDescent="0.25">
      <c r="B34" s="60" t="s">
        <v>48</v>
      </c>
      <c r="C34" s="92" t="str">
        <f>"Asimismo, los clientes aceptan el envío del número de cuenta, así como la confirmación de la fecha de inicio y vencimiento de su depósito a plazo a los siguientes:"</f>
        <v>Asimismo, los clientes aceptan el envío del número de cuenta, así como la confirmación de la fecha de inicio y vencimiento de su depósito a plazo a los siguientes:</v>
      </c>
      <c r="D34" s="57"/>
      <c r="E34" s="57"/>
      <c r="F34" s="57"/>
      <c r="G34" s="57"/>
      <c r="H34" s="57"/>
      <c r="I34" s="57"/>
      <c r="J34" s="57"/>
      <c r="K34" s="57"/>
      <c r="L34" s="57"/>
    </row>
    <row r="35" spans="2:12" s="53" customFormat="1" x14ac:dyDescent="0.25">
      <c r="B35" s="60" t="s">
        <v>81</v>
      </c>
      <c r="C35" s="92" t="str">
        <f>IF(AND('Solicitud de Apertura'!D17="",'Solicitud de Apertura'!D19=""),"{ Dirección o Correo de Cliente 1}",IF('Solicitud de Apertura'!D17="","Dirección: "&amp;'Solicitud de Apertura'!D19,"Correo electrónico: "&amp;'Solicitud de Apertura'!D17))</f>
        <v>{ Dirección o Correo de Cliente 1}</v>
      </c>
      <c r="D35" s="57"/>
      <c r="E35" s="57"/>
      <c r="F35" s="57"/>
      <c r="G35" s="57"/>
      <c r="H35" s="57"/>
      <c r="I35" s="57"/>
      <c r="J35" s="57"/>
      <c r="K35" s="57"/>
      <c r="L35" s="57"/>
    </row>
    <row r="36" spans="2:12" s="53" customFormat="1" x14ac:dyDescent="0.25">
      <c r="B36" s="60" t="s">
        <v>82</v>
      </c>
      <c r="C36" s="92" t="str">
        <f>IF(AND('Solicitud de Apertura'!D27="",'Solicitud de Apertura'!D29=""),"{ Dirección o Correo de Cliente 2}",IF('Solicitud de Apertura'!D27="","Dirección: "&amp;'Solicitud de Apertura'!D29,"Correo electrónico: "&amp;'Solicitud de Apertura'!D27))</f>
        <v>{ Dirección o Correo de Cliente 2}</v>
      </c>
      <c r="D36" s="57"/>
      <c r="E36" s="57"/>
      <c r="F36" s="57"/>
      <c r="G36" s="57"/>
      <c r="H36" s="57"/>
      <c r="I36" s="57"/>
      <c r="J36" s="57"/>
      <c r="K36" s="57"/>
      <c r="L36" s="57"/>
    </row>
    <row r="37" spans="2:12" s="53" customFormat="1" x14ac:dyDescent="0.25">
      <c r="B37" s="57"/>
      <c r="C37" s="57"/>
      <c r="D37" s="57"/>
      <c r="E37" s="57"/>
      <c r="F37" s="57"/>
      <c r="G37" s="57"/>
      <c r="H37" s="57"/>
      <c r="I37" s="57"/>
      <c r="J37" s="57"/>
      <c r="K37" s="57"/>
      <c r="L37" s="57"/>
    </row>
    <row r="38" spans="2:12" s="53" customFormat="1" x14ac:dyDescent="0.25">
      <c r="B38" s="57"/>
      <c r="C38" s="57"/>
      <c r="D38" s="57"/>
      <c r="E38" s="57"/>
      <c r="F38" s="57"/>
      <c r="G38" s="57"/>
      <c r="H38" s="57"/>
      <c r="I38" s="57"/>
      <c r="J38" s="57"/>
      <c r="K38" s="57"/>
      <c r="L38" s="57"/>
    </row>
  </sheetData>
  <mergeCells count="2">
    <mergeCell ref="C29:L29"/>
    <mergeCell ref="C31:L31"/>
  </mergeCells>
  <hyperlinks>
    <hyperlink ref="B23" r:id="rId1"/>
  </hyperlinks>
  <pageMargins left="0.7" right="0.7" top="0.75" bottom="0.75" header="0.3" footer="0.3"/>
  <pageSetup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O129"/>
  <sheetViews>
    <sheetView showGridLines="0" workbookViewId="0">
      <selection activeCell="I6" sqref="I6"/>
    </sheetView>
  </sheetViews>
  <sheetFormatPr baseColWidth="10" defaultRowHeight="15" x14ac:dyDescent="0.25"/>
  <cols>
    <col min="1" max="1" width="3.28515625" customWidth="1"/>
    <col min="2" max="4" width="19.5703125" customWidth="1"/>
    <col min="5" max="5" width="6.5703125" bestFit="1" customWidth="1"/>
    <col min="6" max="6" width="9.140625" bestFit="1" customWidth="1"/>
    <col min="8" max="8" width="3.7109375" customWidth="1"/>
    <col min="9" max="10" width="23.7109375" customWidth="1"/>
  </cols>
  <sheetData>
    <row r="1" spans="1:15" ht="16.5" customHeight="1" x14ac:dyDescent="0.25">
      <c r="A1" s="56"/>
      <c r="B1" s="105" t="s">
        <v>11</v>
      </c>
      <c r="C1" s="106">
        <v>50000</v>
      </c>
      <c r="D1" s="144">
        <v>100000</v>
      </c>
      <c r="E1" s="144">
        <v>250000</v>
      </c>
      <c r="F1" s="105"/>
      <c r="G1" s="105" t="s">
        <v>25</v>
      </c>
      <c r="H1" s="56"/>
      <c r="I1" s="105" t="s">
        <v>29</v>
      </c>
      <c r="J1" s="105" t="s">
        <v>87</v>
      </c>
      <c r="K1" s="56"/>
      <c r="L1" s="107" t="s">
        <v>65</v>
      </c>
      <c r="M1" s="108"/>
      <c r="N1" s="56"/>
      <c r="O1" s="56"/>
    </row>
    <row r="2" spans="1:15" x14ac:dyDescent="0.25">
      <c r="A2" s="56"/>
      <c r="B2" s="109">
        <v>1</v>
      </c>
      <c r="C2" s="110">
        <v>2.75E-2</v>
      </c>
      <c r="D2" s="145">
        <f>C2</f>
        <v>2.75E-2</v>
      </c>
      <c r="E2" s="145">
        <v>2.9499999999999998E-2</v>
      </c>
      <c r="F2" s="110"/>
      <c r="G2" s="109" t="s">
        <v>23</v>
      </c>
      <c r="H2" s="56"/>
      <c r="I2" s="111" t="s">
        <v>30</v>
      </c>
      <c r="J2" s="111" t="s">
        <v>88</v>
      </c>
      <c r="K2" s="56"/>
      <c r="L2" s="112" t="s">
        <v>66</v>
      </c>
      <c r="M2" s="113">
        <f>'Solicitud de Apertura'!D13</f>
        <v>0</v>
      </c>
      <c r="N2" s="56"/>
      <c r="O2" s="56"/>
    </row>
    <row r="3" spans="1:15" x14ac:dyDescent="0.25">
      <c r="A3" s="56"/>
      <c r="B3" s="109">
        <v>2</v>
      </c>
      <c r="C3" s="110">
        <v>0.03</v>
      </c>
      <c r="D3" s="145">
        <f>C3</f>
        <v>0.03</v>
      </c>
      <c r="E3" s="145">
        <v>3.4000000000000002E-2</v>
      </c>
      <c r="F3" s="110"/>
      <c r="G3" s="109" t="s">
        <v>24</v>
      </c>
      <c r="H3" s="56"/>
      <c r="I3" s="114" t="s">
        <v>31</v>
      </c>
      <c r="J3" s="114" t="s">
        <v>89</v>
      </c>
      <c r="K3" s="56"/>
      <c r="L3" s="112" t="s">
        <v>67</v>
      </c>
      <c r="M3" s="115">
        <f>'Solicitud de Apertura'!D15</f>
        <v>0</v>
      </c>
      <c r="N3" s="104" t="s">
        <v>16</v>
      </c>
      <c r="O3" s="56"/>
    </row>
    <row r="4" spans="1:15" x14ac:dyDescent="0.25">
      <c r="A4" s="56"/>
      <c r="B4" s="109">
        <v>5</v>
      </c>
      <c r="C4" s="110">
        <v>0.05</v>
      </c>
      <c r="D4" s="145">
        <f>C4</f>
        <v>0.05</v>
      </c>
      <c r="E4" s="145">
        <v>0.06</v>
      </c>
      <c r="F4" s="110"/>
      <c r="G4" s="56"/>
      <c r="H4" s="56"/>
      <c r="I4" s="114" t="s">
        <v>32</v>
      </c>
      <c r="J4" s="114" t="s">
        <v>90</v>
      </c>
      <c r="K4" s="56"/>
      <c r="L4" s="112" t="s">
        <v>68</v>
      </c>
      <c r="M4" s="115">
        <f>M3*12</f>
        <v>0</v>
      </c>
      <c r="N4" s="56"/>
      <c r="O4" s="56"/>
    </row>
    <row r="5" spans="1:15" x14ac:dyDescent="0.25">
      <c r="A5" s="56"/>
      <c r="B5" s="109">
        <v>10</v>
      </c>
      <c r="C5" s="110">
        <v>5.5E-2</v>
      </c>
      <c r="D5" s="145">
        <f>C5</f>
        <v>5.5E-2</v>
      </c>
      <c r="E5" s="145">
        <v>6.5000000000000002E-2</v>
      </c>
      <c r="F5" s="110"/>
      <c r="G5" s="56"/>
      <c r="H5" s="56"/>
      <c r="I5" s="56" t="s">
        <v>33</v>
      </c>
      <c r="J5" s="56" t="s">
        <v>84</v>
      </c>
      <c r="K5" s="56"/>
      <c r="L5" s="112" t="s">
        <v>69</v>
      </c>
      <c r="M5" s="116" t="str">
        <f>IFERROR(VLOOKUP(M3,$B$1:$E$5,IF(M2&lt;E1,IF(M2&lt;D1,2,3),4),0),"")</f>
        <v/>
      </c>
      <c r="N5" s="116" t="str">
        <f>IFERROR(VLOOKUP(N3,$B$1:$E$5,IF(N2&gt;=F1,3,2),0),"")</f>
        <v/>
      </c>
      <c r="O5" s="56"/>
    </row>
    <row r="6" spans="1:15" x14ac:dyDescent="0.25">
      <c r="A6" s="56"/>
      <c r="B6" s="56"/>
      <c r="C6" s="56"/>
      <c r="D6" s="56"/>
      <c r="E6" s="56"/>
      <c r="F6" s="56"/>
      <c r="G6" s="56"/>
      <c r="H6" s="56"/>
      <c r="I6" s="56"/>
      <c r="J6" s="56" t="s">
        <v>91</v>
      </c>
      <c r="K6" s="56"/>
      <c r="L6" s="112" t="s">
        <v>70</v>
      </c>
      <c r="M6" s="117">
        <f>IFERROR(SUM(D10:D129),"")</f>
        <v>0</v>
      </c>
      <c r="N6" s="56"/>
      <c r="O6" s="56"/>
    </row>
    <row r="7" spans="1:15" x14ac:dyDescent="0.25">
      <c r="A7" s="56"/>
      <c r="B7" s="56"/>
      <c r="C7" s="56"/>
      <c r="D7" s="56"/>
      <c r="E7" s="56"/>
      <c r="F7" s="56"/>
      <c r="G7" s="56"/>
      <c r="H7" s="56"/>
      <c r="I7" s="56"/>
      <c r="J7" s="56"/>
      <c r="K7" s="56"/>
      <c r="L7" s="56"/>
      <c r="M7" s="56"/>
      <c r="N7" s="56"/>
      <c r="O7" s="56"/>
    </row>
    <row r="8" spans="1:15" x14ac:dyDescent="0.25">
      <c r="B8" s="96" t="s">
        <v>61</v>
      </c>
      <c r="C8" s="97"/>
      <c r="D8" s="97"/>
    </row>
    <row r="9" spans="1:15" x14ac:dyDescent="0.25">
      <c r="B9" s="98" t="s">
        <v>62</v>
      </c>
      <c r="C9" s="99" t="s">
        <v>63</v>
      </c>
      <c r="D9" s="100" t="s">
        <v>64</v>
      </c>
    </row>
    <row r="10" spans="1:15" x14ac:dyDescent="0.25">
      <c r="B10" s="101">
        <v>1</v>
      </c>
      <c r="C10" s="102">
        <f>IF(B10="","",$M$2)</f>
        <v>0</v>
      </c>
      <c r="D10" s="103" t="str">
        <f>IFERROR(IF(B10="","",C10*((1+$M$5)^(30/360)-1)),"")</f>
        <v/>
      </c>
    </row>
    <row r="11" spans="1:15" x14ac:dyDescent="0.25">
      <c r="B11" s="101" t="str">
        <f>IF($M$4&gt;B10,B10+1,"")</f>
        <v/>
      </c>
      <c r="C11" s="102" t="str">
        <f t="shared" ref="C11:C74" si="0">IF(B11="","",$M$2)</f>
        <v/>
      </c>
      <c r="D11" s="103" t="str">
        <f t="shared" ref="D11:D74" si="1">IFERROR(IF(B11="","",C11*((1+$M$5)^(30/360)-1)),"")</f>
        <v/>
      </c>
    </row>
    <row r="12" spans="1:15" x14ac:dyDescent="0.25">
      <c r="B12" s="101" t="str">
        <f t="shared" ref="B12:B75" si="2">IF($M$4&gt;B11,B11+1,"")</f>
        <v/>
      </c>
      <c r="C12" s="102" t="str">
        <f t="shared" si="0"/>
        <v/>
      </c>
      <c r="D12" s="103" t="str">
        <f t="shared" si="1"/>
        <v/>
      </c>
    </row>
    <row r="13" spans="1:15" x14ac:dyDescent="0.25">
      <c r="B13" s="101" t="str">
        <f t="shared" si="2"/>
        <v/>
      </c>
      <c r="C13" s="102" t="str">
        <f t="shared" si="0"/>
        <v/>
      </c>
      <c r="D13" s="103" t="str">
        <f t="shared" si="1"/>
        <v/>
      </c>
    </row>
    <row r="14" spans="1:15" x14ac:dyDescent="0.25">
      <c r="B14" s="101" t="str">
        <f t="shared" si="2"/>
        <v/>
      </c>
      <c r="C14" s="102" t="str">
        <f t="shared" si="0"/>
        <v/>
      </c>
      <c r="D14" s="103" t="str">
        <f t="shared" si="1"/>
        <v/>
      </c>
    </row>
    <row r="15" spans="1:15" x14ac:dyDescent="0.25">
      <c r="B15" s="101" t="str">
        <f t="shared" si="2"/>
        <v/>
      </c>
      <c r="C15" s="102" t="str">
        <f t="shared" si="0"/>
        <v/>
      </c>
      <c r="D15" s="103" t="str">
        <f t="shared" si="1"/>
        <v/>
      </c>
    </row>
    <row r="16" spans="1:15" x14ac:dyDescent="0.25">
      <c r="B16" s="101" t="str">
        <f t="shared" si="2"/>
        <v/>
      </c>
      <c r="C16" s="102" t="str">
        <f t="shared" si="0"/>
        <v/>
      </c>
      <c r="D16" s="103" t="str">
        <f t="shared" si="1"/>
        <v/>
      </c>
    </row>
    <row r="17" spans="2:4" x14ac:dyDescent="0.25">
      <c r="B17" s="101" t="str">
        <f t="shared" si="2"/>
        <v/>
      </c>
      <c r="C17" s="102" t="str">
        <f t="shared" si="0"/>
        <v/>
      </c>
      <c r="D17" s="103" t="str">
        <f t="shared" si="1"/>
        <v/>
      </c>
    </row>
    <row r="18" spans="2:4" x14ac:dyDescent="0.25">
      <c r="B18" s="101" t="str">
        <f t="shared" si="2"/>
        <v/>
      </c>
      <c r="C18" s="102" t="str">
        <f t="shared" si="0"/>
        <v/>
      </c>
      <c r="D18" s="103" t="str">
        <f t="shared" si="1"/>
        <v/>
      </c>
    </row>
    <row r="19" spans="2:4" x14ac:dyDescent="0.25">
      <c r="B19" s="101" t="str">
        <f t="shared" si="2"/>
        <v/>
      </c>
      <c r="C19" s="102" t="str">
        <f t="shared" si="0"/>
        <v/>
      </c>
      <c r="D19" s="103" t="str">
        <f t="shared" si="1"/>
        <v/>
      </c>
    </row>
    <row r="20" spans="2:4" x14ac:dyDescent="0.25">
      <c r="B20" s="101" t="str">
        <f t="shared" si="2"/>
        <v/>
      </c>
      <c r="C20" s="102" t="str">
        <f t="shared" si="0"/>
        <v/>
      </c>
      <c r="D20" s="103" t="str">
        <f t="shared" si="1"/>
        <v/>
      </c>
    </row>
    <row r="21" spans="2:4" x14ac:dyDescent="0.25">
      <c r="B21" s="101" t="str">
        <f t="shared" si="2"/>
        <v/>
      </c>
      <c r="C21" s="102" t="str">
        <f t="shared" si="0"/>
        <v/>
      </c>
      <c r="D21" s="103" t="str">
        <f t="shared" si="1"/>
        <v/>
      </c>
    </row>
    <row r="22" spans="2:4" x14ac:dyDescent="0.25">
      <c r="B22" s="101" t="str">
        <f t="shared" si="2"/>
        <v/>
      </c>
      <c r="C22" s="102" t="str">
        <f t="shared" si="0"/>
        <v/>
      </c>
      <c r="D22" s="103" t="str">
        <f t="shared" si="1"/>
        <v/>
      </c>
    </row>
    <row r="23" spans="2:4" x14ac:dyDescent="0.25">
      <c r="B23" s="101" t="str">
        <f t="shared" si="2"/>
        <v/>
      </c>
      <c r="C23" s="102" t="str">
        <f t="shared" si="0"/>
        <v/>
      </c>
      <c r="D23" s="103" t="str">
        <f t="shared" si="1"/>
        <v/>
      </c>
    </row>
    <row r="24" spans="2:4" x14ac:dyDescent="0.25">
      <c r="B24" s="101" t="str">
        <f t="shared" si="2"/>
        <v/>
      </c>
      <c r="C24" s="102" t="str">
        <f t="shared" si="0"/>
        <v/>
      </c>
      <c r="D24" s="103" t="str">
        <f t="shared" si="1"/>
        <v/>
      </c>
    </row>
    <row r="25" spans="2:4" x14ac:dyDescent="0.25">
      <c r="B25" s="101" t="str">
        <f t="shared" si="2"/>
        <v/>
      </c>
      <c r="C25" s="102" t="str">
        <f t="shared" si="0"/>
        <v/>
      </c>
      <c r="D25" s="103" t="str">
        <f t="shared" si="1"/>
        <v/>
      </c>
    </row>
    <row r="26" spans="2:4" x14ac:dyDescent="0.25">
      <c r="B26" s="101" t="str">
        <f t="shared" si="2"/>
        <v/>
      </c>
      <c r="C26" s="102" t="str">
        <f t="shared" si="0"/>
        <v/>
      </c>
      <c r="D26" s="103" t="str">
        <f t="shared" si="1"/>
        <v/>
      </c>
    </row>
    <row r="27" spans="2:4" x14ac:dyDescent="0.25">
      <c r="B27" s="101" t="str">
        <f t="shared" si="2"/>
        <v/>
      </c>
      <c r="C27" s="102" t="str">
        <f t="shared" si="0"/>
        <v/>
      </c>
      <c r="D27" s="103" t="str">
        <f t="shared" si="1"/>
        <v/>
      </c>
    </row>
    <row r="28" spans="2:4" x14ac:dyDescent="0.25">
      <c r="B28" s="101" t="str">
        <f t="shared" si="2"/>
        <v/>
      </c>
      <c r="C28" s="102" t="str">
        <f t="shared" si="0"/>
        <v/>
      </c>
      <c r="D28" s="103" t="str">
        <f t="shared" si="1"/>
        <v/>
      </c>
    </row>
    <row r="29" spans="2:4" x14ac:dyDescent="0.25">
      <c r="B29" s="101" t="str">
        <f t="shared" si="2"/>
        <v/>
      </c>
      <c r="C29" s="102" t="str">
        <f t="shared" si="0"/>
        <v/>
      </c>
      <c r="D29" s="103" t="str">
        <f t="shared" si="1"/>
        <v/>
      </c>
    </row>
    <row r="30" spans="2:4" x14ac:dyDescent="0.25">
      <c r="B30" s="101" t="str">
        <f t="shared" si="2"/>
        <v/>
      </c>
      <c r="C30" s="102" t="str">
        <f t="shared" si="0"/>
        <v/>
      </c>
      <c r="D30" s="103" t="str">
        <f t="shared" si="1"/>
        <v/>
      </c>
    </row>
    <row r="31" spans="2:4" x14ac:dyDescent="0.25">
      <c r="B31" s="101" t="str">
        <f t="shared" si="2"/>
        <v/>
      </c>
      <c r="C31" s="102" t="str">
        <f t="shared" si="0"/>
        <v/>
      </c>
      <c r="D31" s="103" t="str">
        <f t="shared" si="1"/>
        <v/>
      </c>
    </row>
    <row r="32" spans="2:4" x14ac:dyDescent="0.25">
      <c r="B32" s="101" t="str">
        <f t="shared" si="2"/>
        <v/>
      </c>
      <c r="C32" s="102" t="str">
        <f t="shared" si="0"/>
        <v/>
      </c>
      <c r="D32" s="103" t="str">
        <f t="shared" si="1"/>
        <v/>
      </c>
    </row>
    <row r="33" spans="2:4" x14ac:dyDescent="0.25">
      <c r="B33" s="101" t="str">
        <f t="shared" si="2"/>
        <v/>
      </c>
      <c r="C33" s="102" t="str">
        <f t="shared" si="0"/>
        <v/>
      </c>
      <c r="D33" s="103" t="str">
        <f t="shared" si="1"/>
        <v/>
      </c>
    </row>
    <row r="34" spans="2:4" x14ac:dyDescent="0.25">
      <c r="B34" s="101" t="str">
        <f t="shared" si="2"/>
        <v/>
      </c>
      <c r="C34" s="102" t="str">
        <f t="shared" si="0"/>
        <v/>
      </c>
      <c r="D34" s="103" t="str">
        <f t="shared" si="1"/>
        <v/>
      </c>
    </row>
    <row r="35" spans="2:4" x14ac:dyDescent="0.25">
      <c r="B35" s="101" t="str">
        <f t="shared" si="2"/>
        <v/>
      </c>
      <c r="C35" s="102" t="str">
        <f t="shared" si="0"/>
        <v/>
      </c>
      <c r="D35" s="103" t="str">
        <f t="shared" si="1"/>
        <v/>
      </c>
    </row>
    <row r="36" spans="2:4" x14ac:dyDescent="0.25">
      <c r="B36" s="101" t="str">
        <f t="shared" si="2"/>
        <v/>
      </c>
      <c r="C36" s="102" t="str">
        <f t="shared" si="0"/>
        <v/>
      </c>
      <c r="D36" s="103" t="str">
        <f t="shared" si="1"/>
        <v/>
      </c>
    </row>
    <row r="37" spans="2:4" x14ac:dyDescent="0.25">
      <c r="B37" s="101" t="str">
        <f t="shared" si="2"/>
        <v/>
      </c>
      <c r="C37" s="102" t="str">
        <f t="shared" si="0"/>
        <v/>
      </c>
      <c r="D37" s="103" t="str">
        <f t="shared" si="1"/>
        <v/>
      </c>
    </row>
    <row r="38" spans="2:4" x14ac:dyDescent="0.25">
      <c r="B38" s="101" t="str">
        <f t="shared" si="2"/>
        <v/>
      </c>
      <c r="C38" s="102" t="str">
        <f t="shared" si="0"/>
        <v/>
      </c>
      <c r="D38" s="103" t="str">
        <f t="shared" si="1"/>
        <v/>
      </c>
    </row>
    <row r="39" spans="2:4" x14ac:dyDescent="0.25">
      <c r="B39" s="101" t="str">
        <f t="shared" si="2"/>
        <v/>
      </c>
      <c r="C39" s="102" t="str">
        <f t="shared" si="0"/>
        <v/>
      </c>
      <c r="D39" s="103" t="str">
        <f t="shared" si="1"/>
        <v/>
      </c>
    </row>
    <row r="40" spans="2:4" x14ac:dyDescent="0.25">
      <c r="B40" s="101" t="str">
        <f t="shared" si="2"/>
        <v/>
      </c>
      <c r="C40" s="102" t="str">
        <f t="shared" si="0"/>
        <v/>
      </c>
      <c r="D40" s="103" t="str">
        <f t="shared" si="1"/>
        <v/>
      </c>
    </row>
    <row r="41" spans="2:4" x14ac:dyDescent="0.25">
      <c r="B41" s="101" t="str">
        <f t="shared" si="2"/>
        <v/>
      </c>
      <c r="C41" s="102" t="str">
        <f t="shared" si="0"/>
        <v/>
      </c>
      <c r="D41" s="103" t="str">
        <f t="shared" si="1"/>
        <v/>
      </c>
    </row>
    <row r="42" spans="2:4" x14ac:dyDescent="0.25">
      <c r="B42" s="101" t="str">
        <f t="shared" si="2"/>
        <v/>
      </c>
      <c r="C42" s="102" t="str">
        <f t="shared" si="0"/>
        <v/>
      </c>
      <c r="D42" s="103" t="str">
        <f t="shared" si="1"/>
        <v/>
      </c>
    </row>
    <row r="43" spans="2:4" x14ac:dyDescent="0.25">
      <c r="B43" s="101" t="str">
        <f t="shared" si="2"/>
        <v/>
      </c>
      <c r="C43" s="102" t="str">
        <f t="shared" si="0"/>
        <v/>
      </c>
      <c r="D43" s="103" t="str">
        <f t="shared" si="1"/>
        <v/>
      </c>
    </row>
    <row r="44" spans="2:4" x14ac:dyDescent="0.25">
      <c r="B44" s="101" t="str">
        <f t="shared" si="2"/>
        <v/>
      </c>
      <c r="C44" s="102" t="str">
        <f t="shared" si="0"/>
        <v/>
      </c>
      <c r="D44" s="103" t="str">
        <f t="shared" si="1"/>
        <v/>
      </c>
    </row>
    <row r="45" spans="2:4" x14ac:dyDescent="0.25">
      <c r="B45" s="101" t="str">
        <f t="shared" si="2"/>
        <v/>
      </c>
      <c r="C45" s="102" t="str">
        <f t="shared" si="0"/>
        <v/>
      </c>
      <c r="D45" s="103" t="str">
        <f t="shared" si="1"/>
        <v/>
      </c>
    </row>
    <row r="46" spans="2:4" x14ac:dyDescent="0.25">
      <c r="B46" s="101" t="str">
        <f t="shared" si="2"/>
        <v/>
      </c>
      <c r="C46" s="102" t="str">
        <f t="shared" si="0"/>
        <v/>
      </c>
      <c r="D46" s="103" t="str">
        <f t="shared" si="1"/>
        <v/>
      </c>
    </row>
    <row r="47" spans="2:4" x14ac:dyDescent="0.25">
      <c r="B47" s="101" t="str">
        <f t="shared" si="2"/>
        <v/>
      </c>
      <c r="C47" s="102" t="str">
        <f t="shared" si="0"/>
        <v/>
      </c>
      <c r="D47" s="103" t="str">
        <f t="shared" si="1"/>
        <v/>
      </c>
    </row>
    <row r="48" spans="2:4" x14ac:dyDescent="0.25">
      <c r="B48" s="101" t="str">
        <f t="shared" si="2"/>
        <v/>
      </c>
      <c r="C48" s="102" t="str">
        <f t="shared" si="0"/>
        <v/>
      </c>
      <c r="D48" s="103" t="str">
        <f t="shared" si="1"/>
        <v/>
      </c>
    </row>
    <row r="49" spans="2:4" x14ac:dyDescent="0.25">
      <c r="B49" s="101" t="str">
        <f t="shared" si="2"/>
        <v/>
      </c>
      <c r="C49" s="102" t="str">
        <f t="shared" si="0"/>
        <v/>
      </c>
      <c r="D49" s="103" t="str">
        <f t="shared" si="1"/>
        <v/>
      </c>
    </row>
    <row r="50" spans="2:4" x14ac:dyDescent="0.25">
      <c r="B50" s="101" t="str">
        <f t="shared" si="2"/>
        <v/>
      </c>
      <c r="C50" s="102" t="str">
        <f t="shared" si="0"/>
        <v/>
      </c>
      <c r="D50" s="103" t="str">
        <f t="shared" si="1"/>
        <v/>
      </c>
    </row>
    <row r="51" spans="2:4" x14ac:dyDescent="0.25">
      <c r="B51" s="101" t="str">
        <f t="shared" si="2"/>
        <v/>
      </c>
      <c r="C51" s="102" t="str">
        <f t="shared" si="0"/>
        <v/>
      </c>
      <c r="D51" s="103" t="str">
        <f t="shared" si="1"/>
        <v/>
      </c>
    </row>
    <row r="52" spans="2:4" x14ac:dyDescent="0.25">
      <c r="B52" s="101" t="str">
        <f t="shared" si="2"/>
        <v/>
      </c>
      <c r="C52" s="102" t="str">
        <f t="shared" si="0"/>
        <v/>
      </c>
      <c r="D52" s="103" t="str">
        <f t="shared" si="1"/>
        <v/>
      </c>
    </row>
    <row r="53" spans="2:4" x14ac:dyDescent="0.25">
      <c r="B53" s="101" t="str">
        <f t="shared" si="2"/>
        <v/>
      </c>
      <c r="C53" s="102" t="str">
        <f t="shared" si="0"/>
        <v/>
      </c>
      <c r="D53" s="103" t="str">
        <f t="shared" si="1"/>
        <v/>
      </c>
    </row>
    <row r="54" spans="2:4" x14ac:dyDescent="0.25">
      <c r="B54" s="101" t="str">
        <f t="shared" si="2"/>
        <v/>
      </c>
      <c r="C54" s="102" t="str">
        <f t="shared" si="0"/>
        <v/>
      </c>
      <c r="D54" s="103" t="str">
        <f t="shared" si="1"/>
        <v/>
      </c>
    </row>
    <row r="55" spans="2:4" x14ac:dyDescent="0.25">
      <c r="B55" s="101" t="str">
        <f t="shared" si="2"/>
        <v/>
      </c>
      <c r="C55" s="102" t="str">
        <f t="shared" si="0"/>
        <v/>
      </c>
      <c r="D55" s="103" t="str">
        <f t="shared" si="1"/>
        <v/>
      </c>
    </row>
    <row r="56" spans="2:4" x14ac:dyDescent="0.25">
      <c r="B56" s="101" t="str">
        <f t="shared" si="2"/>
        <v/>
      </c>
      <c r="C56" s="102" t="str">
        <f t="shared" si="0"/>
        <v/>
      </c>
      <c r="D56" s="103" t="str">
        <f t="shared" si="1"/>
        <v/>
      </c>
    </row>
    <row r="57" spans="2:4" x14ac:dyDescent="0.25">
      <c r="B57" s="101" t="str">
        <f t="shared" si="2"/>
        <v/>
      </c>
      <c r="C57" s="102" t="str">
        <f t="shared" si="0"/>
        <v/>
      </c>
      <c r="D57" s="103" t="str">
        <f t="shared" si="1"/>
        <v/>
      </c>
    </row>
    <row r="58" spans="2:4" x14ac:dyDescent="0.25">
      <c r="B58" s="101" t="str">
        <f t="shared" si="2"/>
        <v/>
      </c>
      <c r="C58" s="102" t="str">
        <f t="shared" si="0"/>
        <v/>
      </c>
      <c r="D58" s="103" t="str">
        <f t="shared" si="1"/>
        <v/>
      </c>
    </row>
    <row r="59" spans="2:4" x14ac:dyDescent="0.25">
      <c r="B59" s="101" t="str">
        <f t="shared" si="2"/>
        <v/>
      </c>
      <c r="C59" s="102" t="str">
        <f t="shared" si="0"/>
        <v/>
      </c>
      <c r="D59" s="103" t="str">
        <f t="shared" si="1"/>
        <v/>
      </c>
    </row>
    <row r="60" spans="2:4" x14ac:dyDescent="0.25">
      <c r="B60" s="101" t="str">
        <f t="shared" si="2"/>
        <v/>
      </c>
      <c r="C60" s="102" t="str">
        <f t="shared" si="0"/>
        <v/>
      </c>
      <c r="D60" s="103" t="str">
        <f t="shared" si="1"/>
        <v/>
      </c>
    </row>
    <row r="61" spans="2:4" x14ac:dyDescent="0.25">
      <c r="B61" s="101" t="str">
        <f t="shared" si="2"/>
        <v/>
      </c>
      <c r="C61" s="102" t="str">
        <f t="shared" si="0"/>
        <v/>
      </c>
      <c r="D61" s="103" t="str">
        <f t="shared" si="1"/>
        <v/>
      </c>
    </row>
    <row r="62" spans="2:4" x14ac:dyDescent="0.25">
      <c r="B62" s="101" t="str">
        <f t="shared" si="2"/>
        <v/>
      </c>
      <c r="C62" s="102" t="str">
        <f t="shared" si="0"/>
        <v/>
      </c>
      <c r="D62" s="103" t="str">
        <f t="shared" si="1"/>
        <v/>
      </c>
    </row>
    <row r="63" spans="2:4" x14ac:dyDescent="0.25">
      <c r="B63" s="101" t="str">
        <f t="shared" si="2"/>
        <v/>
      </c>
      <c r="C63" s="102" t="str">
        <f t="shared" si="0"/>
        <v/>
      </c>
      <c r="D63" s="103" t="str">
        <f t="shared" si="1"/>
        <v/>
      </c>
    </row>
    <row r="64" spans="2:4" x14ac:dyDescent="0.25">
      <c r="B64" s="101" t="str">
        <f t="shared" si="2"/>
        <v/>
      </c>
      <c r="C64" s="102" t="str">
        <f t="shared" si="0"/>
        <v/>
      </c>
      <c r="D64" s="103" t="str">
        <f t="shared" si="1"/>
        <v/>
      </c>
    </row>
    <row r="65" spans="2:4" x14ac:dyDescent="0.25">
      <c r="B65" s="101" t="str">
        <f t="shared" si="2"/>
        <v/>
      </c>
      <c r="C65" s="102" t="str">
        <f t="shared" si="0"/>
        <v/>
      </c>
      <c r="D65" s="103" t="str">
        <f t="shared" si="1"/>
        <v/>
      </c>
    </row>
    <row r="66" spans="2:4" x14ac:dyDescent="0.25">
      <c r="B66" s="101" t="str">
        <f t="shared" si="2"/>
        <v/>
      </c>
      <c r="C66" s="102" t="str">
        <f t="shared" si="0"/>
        <v/>
      </c>
      <c r="D66" s="103" t="str">
        <f t="shared" si="1"/>
        <v/>
      </c>
    </row>
    <row r="67" spans="2:4" x14ac:dyDescent="0.25">
      <c r="B67" s="101" t="str">
        <f t="shared" si="2"/>
        <v/>
      </c>
      <c r="C67" s="102" t="str">
        <f t="shared" si="0"/>
        <v/>
      </c>
      <c r="D67" s="103" t="str">
        <f t="shared" si="1"/>
        <v/>
      </c>
    </row>
    <row r="68" spans="2:4" x14ac:dyDescent="0.25">
      <c r="B68" s="101" t="str">
        <f t="shared" si="2"/>
        <v/>
      </c>
      <c r="C68" s="102" t="str">
        <f t="shared" si="0"/>
        <v/>
      </c>
      <c r="D68" s="103" t="str">
        <f t="shared" si="1"/>
        <v/>
      </c>
    </row>
    <row r="69" spans="2:4" x14ac:dyDescent="0.25">
      <c r="B69" s="101" t="str">
        <f t="shared" si="2"/>
        <v/>
      </c>
      <c r="C69" s="102" t="str">
        <f t="shared" si="0"/>
        <v/>
      </c>
      <c r="D69" s="103" t="str">
        <f t="shared" si="1"/>
        <v/>
      </c>
    </row>
    <row r="70" spans="2:4" x14ac:dyDescent="0.25">
      <c r="B70" s="101" t="str">
        <f t="shared" si="2"/>
        <v/>
      </c>
      <c r="C70" s="102" t="str">
        <f t="shared" si="0"/>
        <v/>
      </c>
      <c r="D70" s="103" t="str">
        <f t="shared" si="1"/>
        <v/>
      </c>
    </row>
    <row r="71" spans="2:4" x14ac:dyDescent="0.25">
      <c r="B71" s="101" t="str">
        <f t="shared" si="2"/>
        <v/>
      </c>
      <c r="C71" s="102" t="str">
        <f t="shared" si="0"/>
        <v/>
      </c>
      <c r="D71" s="103" t="str">
        <f t="shared" si="1"/>
        <v/>
      </c>
    </row>
    <row r="72" spans="2:4" x14ac:dyDescent="0.25">
      <c r="B72" s="101" t="str">
        <f t="shared" si="2"/>
        <v/>
      </c>
      <c r="C72" s="102" t="str">
        <f t="shared" si="0"/>
        <v/>
      </c>
      <c r="D72" s="103" t="str">
        <f t="shared" si="1"/>
        <v/>
      </c>
    </row>
    <row r="73" spans="2:4" x14ac:dyDescent="0.25">
      <c r="B73" s="101" t="str">
        <f t="shared" si="2"/>
        <v/>
      </c>
      <c r="C73" s="102" t="str">
        <f t="shared" si="0"/>
        <v/>
      </c>
      <c r="D73" s="103" t="str">
        <f t="shared" si="1"/>
        <v/>
      </c>
    </row>
    <row r="74" spans="2:4" x14ac:dyDescent="0.25">
      <c r="B74" s="101" t="str">
        <f t="shared" si="2"/>
        <v/>
      </c>
      <c r="C74" s="102" t="str">
        <f t="shared" si="0"/>
        <v/>
      </c>
      <c r="D74" s="103" t="str">
        <f t="shared" si="1"/>
        <v/>
      </c>
    </row>
    <row r="75" spans="2:4" x14ac:dyDescent="0.25">
      <c r="B75" s="101" t="str">
        <f t="shared" si="2"/>
        <v/>
      </c>
      <c r="C75" s="102" t="str">
        <f t="shared" ref="C75:C129" si="3">IF(B75="","",$M$2)</f>
        <v/>
      </c>
      <c r="D75" s="103" t="str">
        <f t="shared" ref="D75:D128" si="4">IFERROR(IF(B75="","",C75*((1+$M$5)^(30/360)-1)),"")</f>
        <v/>
      </c>
    </row>
    <row r="76" spans="2:4" x14ac:dyDescent="0.25">
      <c r="B76" s="101" t="str">
        <f t="shared" ref="B76:B129" si="5">IF($M$4&gt;B75,B75+1,"")</f>
        <v/>
      </c>
      <c r="C76" s="102" t="str">
        <f t="shared" si="3"/>
        <v/>
      </c>
      <c r="D76" s="103" t="str">
        <f t="shared" si="4"/>
        <v/>
      </c>
    </row>
    <row r="77" spans="2:4" x14ac:dyDescent="0.25">
      <c r="B77" s="101" t="str">
        <f t="shared" si="5"/>
        <v/>
      </c>
      <c r="C77" s="102" t="str">
        <f t="shared" si="3"/>
        <v/>
      </c>
      <c r="D77" s="103" t="str">
        <f t="shared" si="4"/>
        <v/>
      </c>
    </row>
    <row r="78" spans="2:4" x14ac:dyDescent="0.25">
      <c r="B78" s="101" t="str">
        <f t="shared" si="5"/>
        <v/>
      </c>
      <c r="C78" s="102" t="str">
        <f t="shared" si="3"/>
        <v/>
      </c>
      <c r="D78" s="103" t="str">
        <f t="shared" si="4"/>
        <v/>
      </c>
    </row>
    <row r="79" spans="2:4" x14ac:dyDescent="0.25">
      <c r="B79" s="101" t="str">
        <f t="shared" si="5"/>
        <v/>
      </c>
      <c r="C79" s="102" t="str">
        <f t="shared" si="3"/>
        <v/>
      </c>
      <c r="D79" s="103" t="str">
        <f t="shared" si="4"/>
        <v/>
      </c>
    </row>
    <row r="80" spans="2:4" x14ac:dyDescent="0.25">
      <c r="B80" s="101" t="str">
        <f t="shared" si="5"/>
        <v/>
      </c>
      <c r="C80" s="102" t="str">
        <f t="shared" si="3"/>
        <v/>
      </c>
      <c r="D80" s="103" t="str">
        <f t="shared" si="4"/>
        <v/>
      </c>
    </row>
    <row r="81" spans="2:4" x14ac:dyDescent="0.25">
      <c r="B81" s="101" t="str">
        <f t="shared" si="5"/>
        <v/>
      </c>
      <c r="C81" s="102" t="str">
        <f t="shared" si="3"/>
        <v/>
      </c>
      <c r="D81" s="103" t="str">
        <f t="shared" si="4"/>
        <v/>
      </c>
    </row>
    <row r="82" spans="2:4" x14ac:dyDescent="0.25">
      <c r="B82" s="101" t="str">
        <f t="shared" si="5"/>
        <v/>
      </c>
      <c r="C82" s="102" t="str">
        <f t="shared" si="3"/>
        <v/>
      </c>
      <c r="D82" s="103" t="str">
        <f t="shared" si="4"/>
        <v/>
      </c>
    </row>
    <row r="83" spans="2:4" x14ac:dyDescent="0.25">
      <c r="B83" s="101" t="str">
        <f t="shared" si="5"/>
        <v/>
      </c>
      <c r="C83" s="102" t="str">
        <f t="shared" si="3"/>
        <v/>
      </c>
      <c r="D83" s="103" t="str">
        <f t="shared" si="4"/>
        <v/>
      </c>
    </row>
    <row r="84" spans="2:4" x14ac:dyDescent="0.25">
      <c r="B84" s="101" t="str">
        <f t="shared" si="5"/>
        <v/>
      </c>
      <c r="C84" s="102" t="str">
        <f t="shared" si="3"/>
        <v/>
      </c>
      <c r="D84" s="103" t="str">
        <f t="shared" si="4"/>
        <v/>
      </c>
    </row>
    <row r="85" spans="2:4" x14ac:dyDescent="0.25">
      <c r="B85" s="101" t="str">
        <f t="shared" si="5"/>
        <v/>
      </c>
      <c r="C85" s="102" t="str">
        <f t="shared" si="3"/>
        <v/>
      </c>
      <c r="D85" s="103" t="str">
        <f t="shared" si="4"/>
        <v/>
      </c>
    </row>
    <row r="86" spans="2:4" x14ac:dyDescent="0.25">
      <c r="B86" s="101" t="str">
        <f t="shared" si="5"/>
        <v/>
      </c>
      <c r="C86" s="102" t="str">
        <f t="shared" si="3"/>
        <v/>
      </c>
      <c r="D86" s="103" t="str">
        <f t="shared" si="4"/>
        <v/>
      </c>
    </row>
    <row r="87" spans="2:4" x14ac:dyDescent="0.25">
      <c r="B87" s="101" t="str">
        <f t="shared" si="5"/>
        <v/>
      </c>
      <c r="C87" s="102" t="str">
        <f t="shared" si="3"/>
        <v/>
      </c>
      <c r="D87" s="103" t="str">
        <f t="shared" si="4"/>
        <v/>
      </c>
    </row>
    <row r="88" spans="2:4" x14ac:dyDescent="0.25">
      <c r="B88" s="101" t="str">
        <f t="shared" si="5"/>
        <v/>
      </c>
      <c r="C88" s="102" t="str">
        <f t="shared" si="3"/>
        <v/>
      </c>
      <c r="D88" s="103" t="str">
        <f t="shared" si="4"/>
        <v/>
      </c>
    </row>
    <row r="89" spans="2:4" x14ac:dyDescent="0.25">
      <c r="B89" s="101" t="str">
        <f t="shared" si="5"/>
        <v/>
      </c>
      <c r="C89" s="102" t="str">
        <f t="shared" si="3"/>
        <v/>
      </c>
      <c r="D89" s="103" t="str">
        <f t="shared" si="4"/>
        <v/>
      </c>
    </row>
    <row r="90" spans="2:4" x14ac:dyDescent="0.25">
      <c r="B90" s="101" t="str">
        <f t="shared" si="5"/>
        <v/>
      </c>
      <c r="C90" s="102" t="str">
        <f t="shared" si="3"/>
        <v/>
      </c>
      <c r="D90" s="103" t="str">
        <f t="shared" si="4"/>
        <v/>
      </c>
    </row>
    <row r="91" spans="2:4" x14ac:dyDescent="0.25">
      <c r="B91" s="101" t="str">
        <f t="shared" si="5"/>
        <v/>
      </c>
      <c r="C91" s="102" t="str">
        <f t="shared" si="3"/>
        <v/>
      </c>
      <c r="D91" s="103" t="str">
        <f t="shared" si="4"/>
        <v/>
      </c>
    </row>
    <row r="92" spans="2:4" x14ac:dyDescent="0.25">
      <c r="B92" s="101" t="str">
        <f t="shared" si="5"/>
        <v/>
      </c>
      <c r="C92" s="102" t="str">
        <f t="shared" si="3"/>
        <v/>
      </c>
      <c r="D92" s="103" t="str">
        <f t="shared" si="4"/>
        <v/>
      </c>
    </row>
    <row r="93" spans="2:4" x14ac:dyDescent="0.25">
      <c r="B93" s="101" t="str">
        <f t="shared" si="5"/>
        <v/>
      </c>
      <c r="C93" s="102" t="str">
        <f t="shared" si="3"/>
        <v/>
      </c>
      <c r="D93" s="103" t="str">
        <f t="shared" si="4"/>
        <v/>
      </c>
    </row>
    <row r="94" spans="2:4" x14ac:dyDescent="0.25">
      <c r="B94" s="101" t="str">
        <f t="shared" si="5"/>
        <v/>
      </c>
      <c r="C94" s="102" t="str">
        <f t="shared" si="3"/>
        <v/>
      </c>
      <c r="D94" s="103" t="str">
        <f t="shared" si="4"/>
        <v/>
      </c>
    </row>
    <row r="95" spans="2:4" x14ac:dyDescent="0.25">
      <c r="B95" s="101" t="str">
        <f t="shared" si="5"/>
        <v/>
      </c>
      <c r="C95" s="102" t="str">
        <f t="shared" si="3"/>
        <v/>
      </c>
      <c r="D95" s="103" t="str">
        <f t="shared" si="4"/>
        <v/>
      </c>
    </row>
    <row r="96" spans="2:4" x14ac:dyDescent="0.25">
      <c r="B96" s="101" t="str">
        <f t="shared" si="5"/>
        <v/>
      </c>
      <c r="C96" s="102" t="str">
        <f t="shared" si="3"/>
        <v/>
      </c>
      <c r="D96" s="103" t="str">
        <f t="shared" si="4"/>
        <v/>
      </c>
    </row>
    <row r="97" spans="2:4" x14ac:dyDescent="0.25">
      <c r="B97" s="101" t="str">
        <f t="shared" si="5"/>
        <v/>
      </c>
      <c r="C97" s="102" t="str">
        <f t="shared" si="3"/>
        <v/>
      </c>
      <c r="D97" s="103" t="str">
        <f t="shared" si="4"/>
        <v/>
      </c>
    </row>
    <row r="98" spans="2:4" x14ac:dyDescent="0.25">
      <c r="B98" s="101" t="str">
        <f t="shared" si="5"/>
        <v/>
      </c>
      <c r="C98" s="102" t="str">
        <f t="shared" si="3"/>
        <v/>
      </c>
      <c r="D98" s="103" t="str">
        <f t="shared" si="4"/>
        <v/>
      </c>
    </row>
    <row r="99" spans="2:4" x14ac:dyDescent="0.25">
      <c r="B99" s="101" t="str">
        <f t="shared" si="5"/>
        <v/>
      </c>
      <c r="C99" s="102" t="str">
        <f t="shared" si="3"/>
        <v/>
      </c>
      <c r="D99" s="103" t="str">
        <f t="shared" si="4"/>
        <v/>
      </c>
    </row>
    <row r="100" spans="2:4" x14ac:dyDescent="0.25">
      <c r="B100" s="101" t="str">
        <f t="shared" si="5"/>
        <v/>
      </c>
      <c r="C100" s="102" t="str">
        <f t="shared" si="3"/>
        <v/>
      </c>
      <c r="D100" s="103" t="str">
        <f t="shared" si="4"/>
        <v/>
      </c>
    </row>
    <row r="101" spans="2:4" x14ac:dyDescent="0.25">
      <c r="B101" s="101" t="str">
        <f t="shared" si="5"/>
        <v/>
      </c>
      <c r="C101" s="102" t="str">
        <f t="shared" si="3"/>
        <v/>
      </c>
      <c r="D101" s="103" t="str">
        <f t="shared" si="4"/>
        <v/>
      </c>
    </row>
    <row r="102" spans="2:4" x14ac:dyDescent="0.25">
      <c r="B102" s="101" t="str">
        <f t="shared" si="5"/>
        <v/>
      </c>
      <c r="C102" s="102" t="str">
        <f t="shared" si="3"/>
        <v/>
      </c>
      <c r="D102" s="103" t="str">
        <f t="shared" si="4"/>
        <v/>
      </c>
    </row>
    <row r="103" spans="2:4" x14ac:dyDescent="0.25">
      <c r="B103" s="101" t="str">
        <f t="shared" si="5"/>
        <v/>
      </c>
      <c r="C103" s="102" t="str">
        <f t="shared" si="3"/>
        <v/>
      </c>
      <c r="D103" s="103" t="str">
        <f t="shared" si="4"/>
        <v/>
      </c>
    </row>
    <row r="104" spans="2:4" x14ac:dyDescent="0.25">
      <c r="B104" s="101" t="str">
        <f t="shared" si="5"/>
        <v/>
      </c>
      <c r="C104" s="102" t="str">
        <f t="shared" si="3"/>
        <v/>
      </c>
      <c r="D104" s="103" t="str">
        <f t="shared" si="4"/>
        <v/>
      </c>
    </row>
    <row r="105" spans="2:4" x14ac:dyDescent="0.25">
      <c r="B105" s="101" t="str">
        <f t="shared" si="5"/>
        <v/>
      </c>
      <c r="C105" s="102" t="str">
        <f t="shared" si="3"/>
        <v/>
      </c>
      <c r="D105" s="103" t="str">
        <f t="shared" si="4"/>
        <v/>
      </c>
    </row>
    <row r="106" spans="2:4" x14ac:dyDescent="0.25">
      <c r="B106" s="101" t="str">
        <f t="shared" si="5"/>
        <v/>
      </c>
      <c r="C106" s="102" t="str">
        <f t="shared" si="3"/>
        <v/>
      </c>
      <c r="D106" s="103" t="str">
        <f t="shared" si="4"/>
        <v/>
      </c>
    </row>
    <row r="107" spans="2:4" x14ac:dyDescent="0.25">
      <c r="B107" s="101" t="str">
        <f t="shared" si="5"/>
        <v/>
      </c>
      <c r="C107" s="102" t="str">
        <f t="shared" si="3"/>
        <v/>
      </c>
      <c r="D107" s="103" t="str">
        <f t="shared" si="4"/>
        <v/>
      </c>
    </row>
    <row r="108" spans="2:4" x14ac:dyDescent="0.25">
      <c r="B108" s="101" t="str">
        <f t="shared" si="5"/>
        <v/>
      </c>
      <c r="C108" s="102" t="str">
        <f t="shared" si="3"/>
        <v/>
      </c>
      <c r="D108" s="103" t="str">
        <f t="shared" si="4"/>
        <v/>
      </c>
    </row>
    <row r="109" spans="2:4" x14ac:dyDescent="0.25">
      <c r="B109" s="101" t="str">
        <f t="shared" si="5"/>
        <v/>
      </c>
      <c r="C109" s="102" t="str">
        <f t="shared" si="3"/>
        <v/>
      </c>
      <c r="D109" s="103" t="str">
        <f t="shared" si="4"/>
        <v/>
      </c>
    </row>
    <row r="110" spans="2:4" x14ac:dyDescent="0.25">
      <c r="B110" s="101" t="str">
        <f t="shared" si="5"/>
        <v/>
      </c>
      <c r="C110" s="102" t="str">
        <f t="shared" si="3"/>
        <v/>
      </c>
      <c r="D110" s="103" t="str">
        <f t="shared" si="4"/>
        <v/>
      </c>
    </row>
    <row r="111" spans="2:4" x14ac:dyDescent="0.25">
      <c r="B111" s="101" t="str">
        <f t="shared" si="5"/>
        <v/>
      </c>
      <c r="C111" s="102" t="str">
        <f t="shared" si="3"/>
        <v/>
      </c>
      <c r="D111" s="103" t="str">
        <f t="shared" si="4"/>
        <v/>
      </c>
    </row>
    <row r="112" spans="2:4" x14ac:dyDescent="0.25">
      <c r="B112" s="101" t="str">
        <f t="shared" si="5"/>
        <v/>
      </c>
      <c r="C112" s="102" t="str">
        <f t="shared" si="3"/>
        <v/>
      </c>
      <c r="D112" s="103" t="str">
        <f t="shared" si="4"/>
        <v/>
      </c>
    </row>
    <row r="113" spans="2:4" x14ac:dyDescent="0.25">
      <c r="B113" s="101" t="str">
        <f t="shared" si="5"/>
        <v/>
      </c>
      <c r="C113" s="102" t="str">
        <f t="shared" si="3"/>
        <v/>
      </c>
      <c r="D113" s="103" t="str">
        <f t="shared" si="4"/>
        <v/>
      </c>
    </row>
    <row r="114" spans="2:4" x14ac:dyDescent="0.25">
      <c r="B114" s="101" t="str">
        <f t="shared" si="5"/>
        <v/>
      </c>
      <c r="C114" s="102" t="str">
        <f t="shared" si="3"/>
        <v/>
      </c>
      <c r="D114" s="103" t="str">
        <f t="shared" si="4"/>
        <v/>
      </c>
    </row>
    <row r="115" spans="2:4" x14ac:dyDescent="0.25">
      <c r="B115" s="101" t="str">
        <f t="shared" si="5"/>
        <v/>
      </c>
      <c r="C115" s="102" t="str">
        <f t="shared" si="3"/>
        <v/>
      </c>
      <c r="D115" s="103" t="str">
        <f t="shared" si="4"/>
        <v/>
      </c>
    </row>
    <row r="116" spans="2:4" x14ac:dyDescent="0.25">
      <c r="B116" s="101" t="str">
        <f t="shared" si="5"/>
        <v/>
      </c>
      <c r="C116" s="102" t="str">
        <f t="shared" si="3"/>
        <v/>
      </c>
      <c r="D116" s="103" t="str">
        <f t="shared" si="4"/>
        <v/>
      </c>
    </row>
    <row r="117" spans="2:4" x14ac:dyDescent="0.25">
      <c r="B117" s="101" t="str">
        <f t="shared" si="5"/>
        <v/>
      </c>
      <c r="C117" s="102" t="str">
        <f t="shared" si="3"/>
        <v/>
      </c>
      <c r="D117" s="103" t="str">
        <f t="shared" si="4"/>
        <v/>
      </c>
    </row>
    <row r="118" spans="2:4" x14ac:dyDescent="0.25">
      <c r="B118" s="101" t="str">
        <f t="shared" si="5"/>
        <v/>
      </c>
      <c r="C118" s="102" t="str">
        <f t="shared" si="3"/>
        <v/>
      </c>
      <c r="D118" s="103" t="str">
        <f t="shared" si="4"/>
        <v/>
      </c>
    </row>
    <row r="119" spans="2:4" x14ac:dyDescent="0.25">
      <c r="B119" s="101" t="str">
        <f t="shared" si="5"/>
        <v/>
      </c>
      <c r="C119" s="102" t="str">
        <f t="shared" si="3"/>
        <v/>
      </c>
      <c r="D119" s="103" t="str">
        <f t="shared" si="4"/>
        <v/>
      </c>
    </row>
    <row r="120" spans="2:4" x14ac:dyDescent="0.25">
      <c r="B120" s="101" t="str">
        <f t="shared" si="5"/>
        <v/>
      </c>
      <c r="C120" s="102" t="str">
        <f t="shared" si="3"/>
        <v/>
      </c>
      <c r="D120" s="103" t="str">
        <f t="shared" si="4"/>
        <v/>
      </c>
    </row>
    <row r="121" spans="2:4" x14ac:dyDescent="0.25">
      <c r="B121" s="101" t="str">
        <f t="shared" si="5"/>
        <v/>
      </c>
      <c r="C121" s="102" t="str">
        <f t="shared" si="3"/>
        <v/>
      </c>
      <c r="D121" s="103" t="str">
        <f t="shared" si="4"/>
        <v/>
      </c>
    </row>
    <row r="122" spans="2:4" x14ac:dyDescent="0.25">
      <c r="B122" s="101" t="str">
        <f t="shared" si="5"/>
        <v/>
      </c>
      <c r="C122" s="102" t="str">
        <f t="shared" si="3"/>
        <v/>
      </c>
      <c r="D122" s="103" t="str">
        <f t="shared" si="4"/>
        <v/>
      </c>
    </row>
    <row r="123" spans="2:4" x14ac:dyDescent="0.25">
      <c r="B123" s="101" t="str">
        <f t="shared" si="5"/>
        <v/>
      </c>
      <c r="C123" s="102" t="str">
        <f t="shared" si="3"/>
        <v/>
      </c>
      <c r="D123" s="103" t="str">
        <f t="shared" si="4"/>
        <v/>
      </c>
    </row>
    <row r="124" spans="2:4" x14ac:dyDescent="0.25">
      <c r="B124" s="101" t="str">
        <f t="shared" si="5"/>
        <v/>
      </c>
      <c r="C124" s="102" t="str">
        <f t="shared" si="3"/>
        <v/>
      </c>
      <c r="D124" s="103" t="str">
        <f t="shared" si="4"/>
        <v/>
      </c>
    </row>
    <row r="125" spans="2:4" x14ac:dyDescent="0.25">
      <c r="B125" s="101" t="str">
        <f t="shared" si="5"/>
        <v/>
      </c>
      <c r="C125" s="102" t="str">
        <f t="shared" si="3"/>
        <v/>
      </c>
      <c r="D125" s="103" t="str">
        <f t="shared" si="4"/>
        <v/>
      </c>
    </row>
    <row r="126" spans="2:4" x14ac:dyDescent="0.25">
      <c r="B126" s="101" t="str">
        <f t="shared" si="5"/>
        <v/>
      </c>
      <c r="C126" s="102" t="str">
        <f t="shared" si="3"/>
        <v/>
      </c>
      <c r="D126" s="103" t="str">
        <f t="shared" si="4"/>
        <v/>
      </c>
    </row>
    <row r="127" spans="2:4" x14ac:dyDescent="0.25">
      <c r="B127" s="101" t="str">
        <f t="shared" si="5"/>
        <v/>
      </c>
      <c r="C127" s="102" t="str">
        <f t="shared" si="3"/>
        <v/>
      </c>
      <c r="D127" s="103" t="str">
        <f t="shared" si="4"/>
        <v/>
      </c>
    </row>
    <row r="128" spans="2:4" x14ac:dyDescent="0.25">
      <c r="B128" s="101" t="str">
        <f t="shared" si="5"/>
        <v/>
      </c>
      <c r="C128" s="102" t="str">
        <f t="shared" si="3"/>
        <v/>
      </c>
      <c r="D128" s="103" t="str">
        <f t="shared" si="4"/>
        <v/>
      </c>
    </row>
    <row r="129" spans="2:4" x14ac:dyDescent="0.25">
      <c r="B129" s="101" t="str">
        <f t="shared" si="5"/>
        <v/>
      </c>
      <c r="C129" s="102" t="str">
        <f t="shared" si="3"/>
        <v/>
      </c>
      <c r="D129" s="103" t="str">
        <f>IFERROR(IF(B129="","",C129*((1+$M$5)^(30/360)-1)),"")</f>
        <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ituloContenido xmlns="473d1afa-187a-4b22-95eb-fcf2e036db18">Cartilla de información Depósito a Plazo Jubilación</tituloContenido>
    <fechaVigencia xmlns="473d1afa-187a-4b22-95eb-fcf2e036db18">2018-01-19T05:00:00+00:00</fechaVigencia>
    <textoModificado xmlns="473d1afa-187a-4b22-95eb-fcf2e036db18" xsi:nil="true"/>
    <documentoRelacionadoInformacionComercial xmlns="473d1afa-187a-4b22-95eb-fcf2e036db18"/>
    <familiaProducto xmlns="473d1afa-187a-4b22-95eb-fcf2e036db18" xsi:nil="true"/>
    <textoActual xmlns="473d1afa-187a-4b22-95eb-fcf2e036db18" xsi:nil="true"/>
    <fechaFinVigencia xmlns="473d1afa-187a-4b22-95eb-fcf2e036db18" xsi:nil="true"/>
    <temas xmlns="473d1afa-187a-4b22-95eb-fcf2e036db18" xsi:nil="true"/>
    <documentoRelacionadoProcesosPoliticas xmlns="473d1afa-187a-4b22-95eb-fcf2e036db18"/>
    <nombreDocumento xmlns="473d1afa-187a-4b22-95eb-fcf2e036db18">Cartilla de información Depósito a Plazo Jubilación</nombreDocumento>
    <TituloNormalizado xmlns="473d1afa-187a-4b22-95eb-fcf2e036db18">Cartilla de informacion Deposito a Plazo Jubilacion</TituloNormalizado>
    <documentoRelacionadoInformacionGestion xmlns="473d1afa-187a-4b22-95eb-fcf2e036db18"/>
    <_dlc_DocId xmlns="7e47acc6-e369-403f-beac-f2d32438f1b0">ZZUZAEPY6CN5-43-1133</_dlc_DocId>
    <rutaImagen xmlns="473d1afa-187a-4b22-95eb-fcf2e036db18" xsi:nil="true"/>
    <tipoDocumento xmlns="473d1afa-187a-4b22-95eb-fcf2e036db18">13</tipoDocumento>
    <C_x00f3_digo_x0020_de_x0020_contenido_x0020_F xmlns="473d1afa-187a-4b22-95eb-fcf2e036db18">FDO-1111</C_x00f3_digo_x0020_de_x0020_contenido_x0020_F>
    <_dlc_DocIdUrl xmlns="7e47acc6-e369-403f-beac-f2d32438f1b0">
      <Url>http://interbank/gn/_layouts/DocIdRedir.aspx?ID=ZZUZAEPY6CN5-43-1133</Url>
      <Description>ZZUZAEPY6CN5-43-1133</Description>
    </_dlc_DocIdUrl>
    <documentoRelacionadoCampanaComercial xmlns="473d1afa-187a-4b22-95eb-fcf2e036db18"/>
    <documentoRelacionadoManualTienda xmlns="473d1afa-187a-4b22-95eb-fcf2e036db18"/>
    <descripcion xmlns="473d1afa-187a-4b22-95eb-fcf2e036db18" xsi:nil="true"/>
    <tipoFormato xmlns="473d1afa-187a-4b22-95eb-fcf2e036db18">2</tipoFormato>
    <producto xmlns="473d1afa-187a-4b22-95eb-fcf2e036db18"/>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BB9392435CBF1D4CA5C9888AE072E56B" ma:contentTypeVersion="25" ma:contentTypeDescription="Crear nuevo documento." ma:contentTypeScope="" ma:versionID="3a1e4bbb82afb476d0e4c43a0f9948c9">
  <xsd:schema xmlns:xsd="http://www.w3.org/2001/XMLSchema" xmlns:xs="http://www.w3.org/2001/XMLSchema" xmlns:p="http://schemas.microsoft.com/office/2006/metadata/properties" xmlns:ns2="473d1afa-187a-4b22-95eb-fcf2e036db18" xmlns:ns3="7e47acc6-e369-403f-beac-f2d32438f1b0" targetNamespace="http://schemas.microsoft.com/office/2006/metadata/properties" ma:root="true" ma:fieldsID="dee8b4e0affa367340999eb73427011a" ns2:_="" ns3:_="">
    <xsd:import namespace="473d1afa-187a-4b22-95eb-fcf2e036db18"/>
    <xsd:import namespace="7e47acc6-e369-403f-beac-f2d32438f1b0"/>
    <xsd:element name="properties">
      <xsd:complexType>
        <xsd:sequence>
          <xsd:element name="documentManagement">
            <xsd:complexType>
              <xsd:all>
                <xsd:element ref="ns2:tituloContenido" minOccurs="0"/>
                <xsd:element ref="ns2:C_x00f3_digo_x0020_de_x0020_contenido_x0020_F" minOccurs="0"/>
                <xsd:element ref="ns2:tipoDocumento" minOccurs="0"/>
                <xsd:element ref="ns2:fechaFinVigencia" minOccurs="0"/>
                <xsd:element ref="ns2:fechaVigencia" minOccurs="0"/>
                <xsd:element ref="ns2:tipoFormato" minOccurs="0"/>
                <xsd:element ref="ns2:producto" minOccurs="0"/>
                <xsd:element ref="ns2:temas" minOccurs="0"/>
                <xsd:element ref="ns2:documentoRelacionadoInformacionComercial" minOccurs="0"/>
                <xsd:element ref="ns2:documentoRelacionadoCampanaComercial" minOccurs="0"/>
                <xsd:element ref="ns2:documentoRelacionadoManualTienda" minOccurs="0"/>
                <xsd:element ref="ns2:documentoRelacionadoInformacionGestion" minOccurs="0"/>
                <xsd:element ref="ns2:documentoRelacionadoProcesosPoliticas" minOccurs="0"/>
                <xsd:element ref="ns2:familiaProducto" minOccurs="0"/>
                <xsd:element ref="ns2:nombreDocumento" minOccurs="0"/>
                <xsd:element ref="ns2:textoActual" minOccurs="0"/>
                <xsd:element ref="ns2:textoModificado" minOccurs="0"/>
                <xsd:element ref="ns3:_dlc_DocId" minOccurs="0"/>
                <xsd:element ref="ns3:_dlc_DocIdUrl" minOccurs="0"/>
                <xsd:element ref="ns3:_dlc_DocIdPersistId" minOccurs="0"/>
                <xsd:element ref="ns2:descripcion" minOccurs="0"/>
                <xsd:element ref="ns2:RankingComunicados" minOccurs="0"/>
                <xsd:element ref="ns2:TituloNormalizado" minOccurs="0"/>
                <xsd:element ref="ns2:rutaImag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73d1afa-187a-4b22-95eb-fcf2e036db18" elementFormDefault="qualified">
    <xsd:import namespace="http://schemas.microsoft.com/office/2006/documentManagement/types"/>
    <xsd:import namespace="http://schemas.microsoft.com/office/infopath/2007/PartnerControls"/>
    <xsd:element name="tituloContenido" ma:index="1" nillable="true" ma:displayName="tituloContenido" ma:internalName="tituloContenido">
      <xsd:simpleType>
        <xsd:restriction base="dms:Text">
          <xsd:maxLength value="255"/>
        </xsd:restriction>
      </xsd:simpleType>
    </xsd:element>
    <xsd:element name="C_x00f3_digo_x0020_de_x0020_contenido_x0020_F" ma:index="2" nillable="true" ma:displayName="Código de contenido F" ma:internalName="C_x00f3_digo_x0020_de_x0020_contenido_x0020_F">
      <xsd:simpleType>
        <xsd:restriction base="dms:Text">
          <xsd:maxLength value="255"/>
        </xsd:restriction>
      </xsd:simpleType>
    </xsd:element>
    <xsd:element name="tipoDocumento" ma:index="3" nillable="true" ma:displayName="tipoDocumento" ma:list="{2e5b101b-abc3-44f3-9350-20e887607ebd}" ma:internalName="tipoDocumento" ma:showField="Title" ma:web="7e47acc6-e369-403f-beac-f2d32438f1b0">
      <xsd:simpleType>
        <xsd:restriction base="dms:Lookup"/>
      </xsd:simpleType>
    </xsd:element>
    <xsd:element name="fechaFinVigencia" ma:index="4" nillable="true" ma:displayName="fechaFinVigencia" ma:format="DateOnly" ma:internalName="fechaFinVigencia">
      <xsd:simpleType>
        <xsd:restriction base="dms:DateTime"/>
      </xsd:simpleType>
    </xsd:element>
    <xsd:element name="fechaVigencia" ma:index="5" nillable="true" ma:displayName="Fecha de vigencia" ma:format="DateOnly" ma:internalName="fechaVigencia">
      <xsd:simpleType>
        <xsd:restriction base="dms:DateTime"/>
      </xsd:simpleType>
    </xsd:element>
    <xsd:element name="tipoFormato" ma:index="6" nillable="true" ma:displayName="tipoFormato" ma:list="{df318dfc-dffb-47fb-adb2-e1babb15c9ee}" ma:internalName="tipoFormato" ma:showField="Title" ma:web="7e47acc6-e369-403f-beac-f2d32438f1b0">
      <xsd:simpleType>
        <xsd:restriction base="dms:Lookup"/>
      </xsd:simpleType>
    </xsd:element>
    <xsd:element name="producto" ma:index="7" nillable="true" ma:displayName="producto" ma:list="{1db0cb12-957e-44a1-afbb-060b899c6d8d}" ma:internalName="producto" ma:showField="Title" ma:web="7e47acc6-e369-403f-beac-f2d32438f1b0">
      <xsd:complexType>
        <xsd:complexContent>
          <xsd:extension base="dms:MultiChoiceLookup">
            <xsd:sequence>
              <xsd:element name="Value" type="dms:Lookup" maxOccurs="unbounded" minOccurs="0" nillable="true"/>
            </xsd:sequence>
          </xsd:extension>
        </xsd:complexContent>
      </xsd:complexType>
    </xsd:element>
    <xsd:element name="temas" ma:index="8" nillable="true" ma:displayName="temas" ma:list="{7c67a792-2e2f-41a4-847e-2ab241d9684d}" ma:internalName="temas" ma:showField="Title" ma:web="7e47acc6-e369-403f-beac-f2d32438f1b0">
      <xsd:simpleType>
        <xsd:restriction base="dms:Lookup"/>
      </xsd:simpleType>
    </xsd:element>
    <xsd:element name="documentoRelacionadoInformacionComercial" ma:index="9" nillable="true" ma:displayName="documentoRelacionadoInformacionComercial" ma:list="{21f8db16-3907-4d84-bc46-f10ef919318e}" ma:internalName="documentoRelacionadoInformacionComercial" ma:showField="C_x00f3_digo_x0020_del_x0020_documento" ma:web="7e47acc6-e369-403f-beac-f2d32438f1b0">
      <xsd:complexType>
        <xsd:complexContent>
          <xsd:extension base="dms:MultiChoiceLookup">
            <xsd:sequence>
              <xsd:element name="Value" type="dms:Lookup" maxOccurs="unbounded" minOccurs="0" nillable="true"/>
            </xsd:sequence>
          </xsd:extension>
        </xsd:complexContent>
      </xsd:complexType>
    </xsd:element>
    <xsd:element name="documentoRelacionadoCampanaComercial" ma:index="10" nillable="true" ma:displayName="documentoRelacionadoCampanaComercial" ma:list="{bb78440f-c80d-431b-840a-e8a26a596eb1}" ma:internalName="documentoRelacionadoCampanaComercial" ma:showField="C_x00f3_digo_x0020_de_x0020_Biblioteca_x0020_CC" ma:web="7e47acc6-e369-403f-beac-f2d32438f1b0">
      <xsd:complexType>
        <xsd:complexContent>
          <xsd:extension base="dms:MultiChoiceLookup">
            <xsd:sequence>
              <xsd:element name="Value" type="dms:Lookup" maxOccurs="unbounded" minOccurs="0" nillable="true"/>
            </xsd:sequence>
          </xsd:extension>
        </xsd:complexContent>
      </xsd:complexType>
    </xsd:element>
    <xsd:element name="documentoRelacionadoManualTienda" ma:index="11" nillable="true" ma:displayName="documentoRelacionadoManualTienda" ma:list="{fe5e9d3a-91e6-4c66-bd50-f6415b87499a}" ma:internalName="documentoRelacionadoManualTienda" ma:showField="C_x00f3_digo_x0020_de_x0020_Contenido_x0020_MT" ma:web="7e47acc6-e369-403f-beac-f2d32438f1b0">
      <xsd:complexType>
        <xsd:complexContent>
          <xsd:extension base="dms:MultiChoiceLookup">
            <xsd:sequence>
              <xsd:element name="Value" type="dms:Lookup" maxOccurs="unbounded" minOccurs="0" nillable="true"/>
            </xsd:sequence>
          </xsd:extension>
        </xsd:complexContent>
      </xsd:complexType>
    </xsd:element>
    <xsd:element name="documentoRelacionadoInformacionGestion" ma:index="12" nillable="true" ma:displayName="documentoRelacionadoInformacionGestion" ma:list="{75b33a82-0e3b-4471-92df-de255d731d8f}" ma:internalName="documentoRelacionadoInformacionGestion" ma:showField="C_x00f3_digo_x0020_de_x0020_Contenido_x0020_IG" ma:web="7e47acc6-e369-403f-beac-f2d32438f1b0">
      <xsd:complexType>
        <xsd:complexContent>
          <xsd:extension base="dms:MultiChoiceLookup">
            <xsd:sequence>
              <xsd:element name="Value" type="dms:Lookup" maxOccurs="unbounded" minOccurs="0" nillable="true"/>
            </xsd:sequence>
          </xsd:extension>
        </xsd:complexContent>
      </xsd:complexType>
    </xsd:element>
    <xsd:element name="documentoRelacionadoProcesosPoliticas" ma:index="13" nillable="true" ma:displayName="documentoRelacionadoProcesosPoliticas" ma:list="{7497487f-d792-40df-8e7c-d0f15cd5cff8}" ma:internalName="documentoRelacionadoProcesosPoliticas" ma:showField="C_x00f3_digo_x0020_de_x0020_Contenido_x0020_PP" ma:web="7e47acc6-e369-403f-beac-f2d32438f1b0">
      <xsd:complexType>
        <xsd:complexContent>
          <xsd:extension base="dms:MultiChoiceLookup">
            <xsd:sequence>
              <xsd:element name="Value" type="dms:Lookup" maxOccurs="unbounded" minOccurs="0" nillable="true"/>
            </xsd:sequence>
          </xsd:extension>
        </xsd:complexContent>
      </xsd:complexType>
    </xsd:element>
    <xsd:element name="familiaProducto" ma:index="14" nillable="true" ma:displayName="familiaProducto" ma:list="{fa4fbed3-b2d6-4812-a6d7-835b7a525499}" ma:internalName="familiaProducto" ma:showField="Title" ma:web="7e47acc6-e369-403f-beac-f2d32438f1b0">
      <xsd:simpleType>
        <xsd:restriction base="dms:Lookup"/>
      </xsd:simpleType>
    </xsd:element>
    <xsd:element name="nombreDocumento" ma:index="15" nillable="true" ma:displayName="nombreDocumento" ma:internalName="nombreDocumento">
      <xsd:simpleType>
        <xsd:restriction base="dms:Text">
          <xsd:maxLength value="255"/>
        </xsd:restriction>
      </xsd:simpleType>
    </xsd:element>
    <xsd:element name="textoActual" ma:index="16" nillable="true" ma:displayName="textoActual" ma:internalName="textoActual">
      <xsd:simpleType>
        <xsd:restriction base="dms:Text">
          <xsd:maxLength value="255"/>
        </xsd:restriction>
      </xsd:simpleType>
    </xsd:element>
    <xsd:element name="textoModificado" ma:index="17" nillable="true" ma:displayName="textoModificado" ma:internalName="textoModificado">
      <xsd:simpleType>
        <xsd:restriction base="dms:Text">
          <xsd:maxLength value="255"/>
        </xsd:restriction>
      </xsd:simpleType>
    </xsd:element>
    <xsd:element name="descripcion" ma:index="28" nillable="true" ma:displayName="Descripción" ma:internalName="descripcion">
      <xsd:simpleType>
        <xsd:restriction base="dms:Note">
          <xsd:maxLength value="255"/>
        </xsd:restriction>
      </xsd:simpleType>
    </xsd:element>
    <xsd:element name="RankingComunicados" ma:index="29" nillable="true" ma:displayName="RankingComunicados" ma:internalName="RankingComunicados" ma:readOnly="true">
      <xsd:simpleType>
        <xsd:restriction base="dms:Number"/>
      </xsd:simpleType>
    </xsd:element>
    <xsd:element name="TituloNormalizado" ma:index="30" nillable="true" ma:displayName="TituloNormalizado" ma:internalName="TituloNormalizado" ma:readOnly="false">
      <xsd:simpleType>
        <xsd:restriction base="dms:Text"/>
      </xsd:simpleType>
    </xsd:element>
    <xsd:element name="rutaImagen" ma:index="31" nillable="true" ma:displayName="rutaImagen" ma:internalName="rutaImagen">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e47acc6-e369-403f-beac-f2d32438f1b0" elementFormDefault="qualified">
    <xsd:import namespace="http://schemas.microsoft.com/office/2006/documentManagement/types"/>
    <xsd:import namespace="http://schemas.microsoft.com/office/infopath/2007/PartnerControls"/>
    <xsd:element name="_dlc_DocId" ma:index="21" nillable="true" ma:displayName="Valor de Id. de documento" ma:description="El valor del identificador de documento asignado a este elemento." ma:internalName="_dlc_DocId" ma:readOnly="true">
      <xsd:simpleType>
        <xsd:restriction base="dms:Text"/>
      </xsd:simpleType>
    </xsd:element>
    <xsd:element name="_dlc_DocIdUrl" ma:index="22"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3" nillable="true" ma:displayName="Identificador persistente" ma:description="Mantener el identificador al agregar."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4" ma:displayName="Tipo de contenido"/>
        <xsd:element ref="dc:title" minOccurs="0" maxOccurs="1" ma:index="18"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DC3E346-DE81-40AE-9CC4-BCA9F69D8A10}">
  <ds:schemaRefs>
    <ds:schemaRef ds:uri="http://purl.org/dc/elements/1.1/"/>
    <ds:schemaRef ds:uri="http://schemas.openxmlformats.org/package/2006/metadata/core-properties"/>
    <ds:schemaRef ds:uri="http://schemas.microsoft.com/office/2006/documentManagement/types"/>
    <ds:schemaRef ds:uri="http://purl.org/dc/terms/"/>
    <ds:schemaRef ds:uri="http://purl.org/dc/dcmitype/"/>
    <ds:schemaRef ds:uri="http://schemas.microsoft.com/office/2006/metadata/properties"/>
    <ds:schemaRef ds:uri="http://www.w3.org/XML/1998/namespace"/>
    <ds:schemaRef ds:uri="http://schemas.microsoft.com/office/infopath/2007/PartnerControls"/>
    <ds:schemaRef ds:uri="7e47acc6-e369-403f-beac-f2d32438f1b0"/>
    <ds:schemaRef ds:uri="473d1afa-187a-4b22-95eb-fcf2e036db18"/>
  </ds:schemaRefs>
</ds:datastoreItem>
</file>

<file path=customXml/itemProps2.xml><?xml version="1.0" encoding="utf-8"?>
<ds:datastoreItem xmlns:ds="http://schemas.openxmlformats.org/officeDocument/2006/customXml" ds:itemID="{B53B2E6E-6DB8-40C0-B9E3-AE5953BAC63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73d1afa-187a-4b22-95eb-fcf2e036db18"/>
    <ds:schemaRef ds:uri="7e47acc6-e369-403f-beac-f2d32438f1b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B4545A0-D187-40EC-AFA4-797A2CEF7D37}">
  <ds:schemaRefs>
    <ds:schemaRef ds:uri="http://schemas.microsoft.com/sharepoint/events"/>
  </ds:schemaRefs>
</ds:datastoreItem>
</file>

<file path=customXml/itemProps4.xml><?xml version="1.0" encoding="utf-8"?>
<ds:datastoreItem xmlns:ds="http://schemas.openxmlformats.org/officeDocument/2006/customXml" ds:itemID="{81BA4C6A-07E3-4804-A836-406930C8C58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Solicitud de Apertura</vt:lpstr>
      <vt:lpstr>Individual Final Imprimir</vt:lpstr>
      <vt:lpstr>Mancomunado Final Imprimir</vt:lpstr>
      <vt:lpstr>Individual Números a Letras</vt:lpstr>
      <vt:lpstr>Mancomunado Números a Letras</vt:lpstr>
      <vt:lpstr>Tasas</vt:lpstr>
    </vt:vector>
  </TitlesOfParts>
  <Company>Banco Internacional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Interbank</dc:creator>
  <cp:lastModifiedBy>Romero Bazalar, Natalia Valeria</cp:lastModifiedBy>
  <cp:lastPrinted>2018-12-20T16:19:42Z</cp:lastPrinted>
  <dcterms:created xsi:type="dcterms:W3CDTF">2016-05-19T15:50:50Z</dcterms:created>
  <dcterms:modified xsi:type="dcterms:W3CDTF">2019-03-08T00:54:26Z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0x010100BB9392435CBF1D4CA5C9888AE072E56B</vt:lpwstr>
  </property>
  <property fmtid="{D5CDD505-2E9C-101B-9397-08002B2CF9AE}" pid="3" name="_dlc_DocIdItemGuid">
    <vt:lpwstr>aacfe05c-72a5-422f-ae7c-eca1ee933a4b</vt:lpwstr>
  </property>
</Properties>
</file>